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defaultThemeVersion="124226"/>
  <mc:AlternateContent xmlns:mc="http://schemas.openxmlformats.org/markup-compatibility/2006">
    <mc:Choice Requires="x15">
      <x15ac:absPath xmlns:x15ac="http://schemas.microsoft.com/office/spreadsheetml/2010/11/ac" url="https://nxp1-my.sharepoint.com/personal/jeff_palmer_nxp_com/Documents/Desktop/Analyst Toolkit/NXP Earnings 2025/NXP 4Q25 Earnings/Final EPR Material/"/>
    </mc:Choice>
  </mc:AlternateContent>
  <xr:revisionPtr revIDLastSave="12" documentId="8_{A3011944-8EFE-42E2-A9E4-CCD08D289340}" xr6:coauthVersionLast="47" xr6:coauthVersionMax="47" xr10:uidLastSave="{7F6A1364-ABBA-422A-A25C-1912B04905C2}"/>
  <bookViews>
    <workbookView xWindow="-98" yWindow="-98" windowWidth="21795" windowHeight="13875" tabRatio="744" firstSheet="1" activeTab="4" xr2:uid="{00000000-000D-0000-FFFF-FFFF00000000}"/>
  </bookViews>
  <sheets>
    <sheet name="Introduction" sheetId="1" r:id="rId1"/>
    <sheet name="P&amp;L" sheetId="2" r:id="rId2"/>
    <sheet name="Balance Sheet" sheetId="3" r:id="rId3"/>
    <sheet name="Cash Flow" sheetId="4" r:id="rId4"/>
    <sheet name="Revenue" sheetId="16" r:id="rId5"/>
    <sheet name="Recon GAAP to non-GAAP" sheetId="13" r:id="rId6"/>
    <sheet name="Adj EBITDA Calculation" sheetId="10" r:id="rId7"/>
    <sheet name="Operating Metrics" sheetId="15" r:id="rId8"/>
  </sheets>
  <definedNames>
    <definedName name="_xlnm.Print_Area" localSheetId="6">'Adj EBITDA Calculation'!$A$1:$AI$46</definedName>
    <definedName name="_xlnm.Print_Area" localSheetId="0">Introduction!$B$1:$C$53</definedName>
    <definedName name="Z_3AEE86E9_9A50_484E_B189_6F484AA443A0_.wvu.PrintArea" localSheetId="0" hidden="1">Introduction!$B$1:$B$47</definedName>
    <definedName name="Z_3AEE86E9_9A50_484E_B189_6F484AA443A0_.wvu.PrintArea" localSheetId="1" hidden="1">'P&amp;L'!$A$1:$AH$58</definedName>
    <definedName name="Z_8A3FF670_BD86_44B8_80D6_F16ECD9AAB7E_.wvu.PrintArea" localSheetId="0" hidden="1">Introduction!$B$1:$B$47</definedName>
    <definedName name="Z_8A3FF670_BD86_44B8_80D6_F16ECD9AAB7E_.wvu.PrintArea" localSheetId="1" hidden="1">'P&amp;L'!$A$1:$AH$58</definedName>
  </definedNames>
  <calcPr calcId="191028" calcOnSave="0"/>
  <customWorkbookViews>
    <customWorkbookView name="Waterreus - Personal View" guid="{8A3FF670-BD86-44B8-80D6-F16ECD9AAB7E}" mergeInterval="0" personalView="1" maximized="1" xWindow="1" yWindow="1" windowWidth="1276" windowHeight="794" activeSheetId="9"/>
    <customWorkbookView name="nlv21979 - Personal View" guid="{3AEE86E9-9A50-484E-B189-6F484AA443A0}" mergeInterval="0" personalView="1" maximized="1" xWindow="1" yWindow="1" windowWidth="1276" windowHeight="794" activeSheetId="8"/>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0" i="16" l="1"/>
  <c r="S20" i="16"/>
  <c r="R20" i="16"/>
  <c r="T16" i="16"/>
  <c r="AQ30" i="10" l="1"/>
  <c r="AQ27" i="10"/>
  <c r="AQ26" i="10"/>
  <c r="AQ23" i="10"/>
  <c r="AP88" i="4"/>
  <c r="AP98" i="4"/>
  <c r="AS100" i="13" l="1"/>
  <c r="AS98" i="13"/>
  <c r="AS125" i="13" l="1"/>
  <c r="AS139" i="13"/>
  <c r="AP92" i="4"/>
  <c r="AQ41" i="10" l="1"/>
  <c r="AQ37" i="10"/>
  <c r="AP96" i="4" l="1"/>
  <c r="AP95" i="4"/>
  <c r="AP93" i="4"/>
  <c r="AP84" i="4"/>
  <c r="AP86" i="4" s="1"/>
  <c r="AS126" i="13" l="1"/>
  <c r="AS141" i="13"/>
  <c r="AS140" i="13"/>
  <c r="AS135" i="13"/>
  <c r="AS134" i="13"/>
  <c r="AS133" i="13"/>
  <c r="AS132" i="13"/>
  <c r="AS128" i="13"/>
  <c r="AS127" i="13"/>
  <c r="AP37" i="2"/>
  <c r="AP35" i="2"/>
  <c r="AP33" i="2"/>
  <c r="AP31" i="2"/>
  <c r="AP29" i="2"/>
  <c r="AP27" i="2"/>
  <c r="AP26" i="2"/>
  <c r="AP24" i="2"/>
  <c r="AP22" i="2"/>
  <c r="AP21" i="2"/>
  <c r="AP20" i="2"/>
  <c r="AP17" i="2"/>
  <c r="AP15" i="2"/>
  <c r="AP13" i="2"/>
  <c r="AP12" i="2"/>
  <c r="AP11" i="2"/>
  <c r="AP10" i="2"/>
  <c r="AP8" i="2"/>
  <c r="AP6" i="2"/>
  <c r="AP5" i="2"/>
  <c r="AE62" i="4"/>
  <c r="AE61" i="4"/>
  <c r="AF18" i="13"/>
  <c r="AF16" i="13"/>
  <c r="AF57" i="13"/>
  <c r="AF55" i="13"/>
  <c r="AE47" i="3"/>
  <c r="AE43" i="3"/>
  <c r="AE35" i="3"/>
  <c r="AE23" i="3"/>
  <c r="AE25" i="3" s="1"/>
  <c r="AE13" i="3"/>
  <c r="AE37" i="2"/>
  <c r="AE33" i="2"/>
  <c r="AE24" i="2"/>
  <c r="AE17" i="2"/>
  <c r="AE13" i="2"/>
  <c r="AE8" i="2"/>
  <c r="AQ19" i="10"/>
  <c r="AP62" i="4"/>
  <c r="AP61" i="4"/>
  <c r="AE49" i="3" l="1"/>
  <c r="AQ29" i="10"/>
  <c r="R41" i="15" l="1"/>
  <c r="AE57" i="13"/>
  <c r="AE55" i="13"/>
  <c r="AE18" i="13"/>
  <c r="AE16" i="13"/>
  <c r="AD47" i="3"/>
  <c r="AD43" i="3"/>
  <c r="AD35" i="3"/>
  <c r="AD49" i="3" s="1"/>
  <c r="AD23" i="3"/>
  <c r="AD13" i="3"/>
  <c r="AD25" i="3" s="1"/>
  <c r="AD13" i="2"/>
  <c r="AD8" i="2"/>
  <c r="AD17" i="2" s="1"/>
  <c r="AS101" i="13"/>
  <c r="AS99" i="13"/>
  <c r="AS97" i="13"/>
  <c r="AS96" i="13"/>
  <c r="AS95" i="13"/>
  <c r="AS94" i="13"/>
  <c r="AS93" i="13"/>
  <c r="AS92" i="13"/>
  <c r="AS91" i="13"/>
  <c r="AS90" i="13"/>
  <c r="AS89" i="13"/>
  <c r="AS70" i="13"/>
  <c r="AS69" i="13"/>
  <c r="AS68" i="13"/>
  <c r="AS53" i="13"/>
  <c r="AS52" i="13"/>
  <c r="AS51" i="13"/>
  <c r="AS50" i="13"/>
  <c r="AS49" i="13"/>
  <c r="AS48" i="13"/>
  <c r="AS47" i="13"/>
  <c r="AS46" i="13"/>
  <c r="AS44" i="13"/>
  <c r="AS43" i="13"/>
  <c r="AS42" i="13"/>
  <c r="AS41" i="13"/>
  <c r="AS40" i="13"/>
  <c r="AS39" i="13"/>
  <c r="AS37" i="13"/>
  <c r="AS36" i="13"/>
  <c r="AS35" i="13"/>
  <c r="AS33" i="13"/>
  <c r="AS32" i="13"/>
  <c r="AS31" i="13"/>
  <c r="AS30" i="13"/>
  <c r="AS29" i="13"/>
  <c r="AS28" i="13"/>
  <c r="AS27" i="13"/>
  <c r="AS25" i="13"/>
  <c r="AS24" i="13"/>
  <c r="AS23" i="13"/>
  <c r="AS22" i="13"/>
  <c r="AS21" i="13"/>
  <c r="AS20" i="13"/>
  <c r="AS14" i="13"/>
  <c r="AS13" i="13"/>
  <c r="AS12" i="13"/>
  <c r="AS11" i="13"/>
  <c r="AS10" i="13"/>
  <c r="AS9" i="13"/>
  <c r="AS8" i="13"/>
  <c r="AS7" i="13"/>
  <c r="AS5" i="13"/>
  <c r="AP82" i="4"/>
  <c r="AP74" i="4"/>
  <c r="AP72" i="4"/>
  <c r="AP71" i="4"/>
  <c r="AP70" i="4"/>
  <c r="AP69" i="4"/>
  <c r="AP68" i="4"/>
  <c r="AP67" i="4"/>
  <c r="AP66" i="4"/>
  <c r="AP65" i="4"/>
  <c r="AP64" i="4"/>
  <c r="AP63" i="4"/>
  <c r="AP60" i="4"/>
  <c r="AP59" i="4"/>
  <c r="AP58" i="4"/>
  <c r="AP57" i="4"/>
  <c r="AP56" i="4"/>
  <c r="AP55" i="4"/>
  <c r="AP54" i="4"/>
  <c r="AP53" i="4"/>
  <c r="AP52" i="4"/>
  <c r="AP51" i="4"/>
  <c r="AP50" i="4"/>
  <c r="AP49" i="4"/>
  <c r="AP46" i="4"/>
  <c r="AP45" i="4"/>
  <c r="AP44" i="4"/>
  <c r="AP43" i="4"/>
  <c r="AP42" i="4"/>
  <c r="AP41" i="4"/>
  <c r="AP40" i="4"/>
  <c r="AP39" i="4"/>
  <c r="AP38" i="4"/>
  <c r="AP37" i="4"/>
  <c r="AP36" i="4"/>
  <c r="AP35" i="4"/>
  <c r="AP34" i="4"/>
  <c r="AP33" i="4"/>
  <c r="AP32" i="4"/>
  <c r="AP31" i="4"/>
  <c r="AP28" i="4"/>
  <c r="AP27" i="4"/>
  <c r="AP26" i="4"/>
  <c r="AP24" i="4"/>
  <c r="AP23" i="4"/>
  <c r="AP22" i="4"/>
  <c r="AP21" i="4"/>
  <c r="AP18" i="4"/>
  <c r="AP17" i="4"/>
  <c r="AP16" i="4"/>
  <c r="AP15" i="4"/>
  <c r="AP14" i="4"/>
  <c r="AP13" i="4"/>
  <c r="AP12" i="4"/>
  <c r="AP11" i="4"/>
  <c r="AP10" i="4"/>
  <c r="AP6" i="4"/>
  <c r="AQ39" i="10"/>
  <c r="AQ24" i="10"/>
  <c r="AQ22" i="10"/>
  <c r="AQ21" i="10"/>
  <c r="AQ20" i="10"/>
  <c r="AQ18" i="10"/>
  <c r="AQ17" i="10"/>
  <c r="AQ16" i="10"/>
  <c r="AQ15" i="10"/>
  <c r="AQ13" i="10"/>
  <c r="AQ12" i="10"/>
  <c r="AQ11" i="10"/>
  <c r="AQ10" i="10"/>
  <c r="AQ7" i="10"/>
  <c r="AQ6" i="10"/>
  <c r="AQ5" i="10"/>
  <c r="AC39" i="10"/>
  <c r="AC23" i="10"/>
  <c r="AS57" i="13" l="1"/>
  <c r="AS18" i="13"/>
  <c r="AS55" i="13"/>
  <c r="AS16" i="13"/>
  <c r="AD24" i="2"/>
  <c r="AD57" i="13"/>
  <c r="AD55" i="13"/>
  <c r="AC18" i="13"/>
  <c r="AC16" i="13"/>
  <c r="AD18" i="13"/>
  <c r="AD16" i="13"/>
  <c r="AC41" i="3"/>
  <c r="AB41" i="3"/>
  <c r="AB42" i="3"/>
  <c r="AA41" i="3"/>
  <c r="AA42" i="3"/>
  <c r="Z41" i="3"/>
  <c r="Z42" i="3"/>
  <c r="Y41" i="3"/>
  <c r="Y42" i="3"/>
  <c r="Y19" i="3"/>
  <c r="Z19" i="3"/>
  <c r="AA19" i="3"/>
  <c r="AB19" i="3"/>
  <c r="AD33" i="2" l="1"/>
  <c r="O35" i="15"/>
  <c r="O41" i="15" s="1"/>
  <c r="O39" i="15"/>
  <c r="AB18" i="13"/>
  <c r="AB16" i="13"/>
  <c r="AB57" i="13"/>
  <c r="AB55" i="13"/>
  <c r="N35" i="15"/>
  <c r="N41" i="15" s="1"/>
  <c r="N39" i="15"/>
  <c r="AD37" i="2" l="1"/>
  <c r="AA57" i="13"/>
  <c r="AA55" i="13"/>
  <c r="AA18" i="13"/>
  <c r="AA16" i="13"/>
  <c r="AR18" i="13" l="1"/>
  <c r="AR55" i="13"/>
  <c r="AR57" i="13"/>
  <c r="AR16" i="13"/>
  <c r="D39" i="15" l="1"/>
  <c r="E39" i="15"/>
  <c r="F39" i="15"/>
  <c r="F41" i="15" s="1"/>
  <c r="G39" i="15"/>
  <c r="G41" i="15" s="1"/>
  <c r="H39" i="15"/>
  <c r="I39" i="15"/>
  <c r="J39" i="15"/>
  <c r="K39" i="15"/>
  <c r="L39" i="15"/>
  <c r="M39" i="15"/>
  <c r="C39" i="15"/>
  <c r="C35" i="15"/>
  <c r="C41" i="15" s="1"/>
  <c r="D35" i="15"/>
  <c r="D41" i="15" s="1"/>
  <c r="E35" i="15"/>
  <c r="E41" i="15" s="1"/>
  <c r="F35" i="15"/>
  <c r="G35" i="15"/>
  <c r="H35" i="15"/>
  <c r="H41" i="15" s="1"/>
  <c r="I35" i="15"/>
  <c r="J35" i="15"/>
  <c r="J41" i="15" s="1"/>
  <c r="K35" i="15"/>
  <c r="K41" i="15" s="1"/>
  <c r="L35" i="15"/>
  <c r="L41" i="15" s="1"/>
  <c r="M35" i="15"/>
  <c r="M41" i="15" s="1"/>
  <c r="I41" i="15" l="1"/>
  <c r="G16" i="13"/>
  <c r="H16" i="13"/>
  <c r="I16" i="13"/>
  <c r="J16" i="13"/>
  <c r="K16" i="13"/>
  <c r="L16" i="13"/>
  <c r="M16" i="13"/>
  <c r="N16" i="13"/>
  <c r="O16" i="13"/>
  <c r="P16" i="13"/>
  <c r="Q16" i="13"/>
  <c r="R16" i="13"/>
  <c r="S16" i="13"/>
  <c r="T16" i="13"/>
  <c r="U16" i="13"/>
  <c r="G18" i="13"/>
  <c r="H18" i="13"/>
  <c r="I18" i="13"/>
  <c r="J18" i="13"/>
  <c r="K18" i="13"/>
  <c r="L18" i="13"/>
  <c r="M18" i="13"/>
  <c r="N18" i="13"/>
  <c r="O18" i="13"/>
  <c r="P18" i="13"/>
  <c r="Q18" i="13"/>
  <c r="R18" i="13"/>
  <c r="S18" i="13"/>
  <c r="T18" i="13"/>
  <c r="U18" i="13"/>
  <c r="J40" i="13"/>
  <c r="J43" i="13"/>
  <c r="G46" i="13"/>
  <c r="G55" i="13" s="1"/>
  <c r="I46" i="13"/>
  <c r="I55" i="13" s="1"/>
  <c r="G47" i="13"/>
  <c r="I47" i="13"/>
  <c r="J47" i="13"/>
  <c r="G48" i="13"/>
  <c r="I48" i="13"/>
  <c r="G49" i="13"/>
  <c r="I49" i="13"/>
  <c r="G50" i="13"/>
  <c r="I50" i="13"/>
  <c r="G51" i="13"/>
  <c r="I51" i="13"/>
  <c r="J51" i="13"/>
  <c r="G52" i="13"/>
  <c r="I52" i="13"/>
  <c r="G53" i="13"/>
  <c r="G57" i="13" s="1"/>
  <c r="I53" i="13"/>
  <c r="I57" i="13" s="1"/>
  <c r="H55" i="13"/>
  <c r="J55" i="13"/>
  <c r="K55" i="13"/>
  <c r="L55" i="13"/>
  <c r="M55" i="13"/>
  <c r="N55" i="13"/>
  <c r="O55" i="13"/>
  <c r="P55" i="13"/>
  <c r="Q55" i="13"/>
  <c r="R55" i="13"/>
  <c r="S55" i="13"/>
  <c r="T55" i="13"/>
  <c r="U55" i="13"/>
  <c r="H57" i="13"/>
  <c r="J57" i="13"/>
  <c r="K57" i="13"/>
  <c r="L57" i="13"/>
  <c r="M57" i="13"/>
  <c r="N57" i="13"/>
  <c r="O57" i="13"/>
  <c r="P57" i="13"/>
  <c r="Q57" i="13"/>
  <c r="R57" i="13"/>
  <c r="S57" i="13"/>
  <c r="T57" i="13"/>
  <c r="U57" i="13"/>
  <c r="AM16" i="13"/>
  <c r="AM18" i="13"/>
  <c r="AM55" i="13"/>
  <c r="AM57" i="13"/>
  <c r="AL18" i="13" l="1"/>
  <c r="AL55" i="13"/>
  <c r="AO18" i="13"/>
  <c r="AO16" i="13"/>
  <c r="AL57" i="13"/>
  <c r="AO55" i="13"/>
  <c r="AN18" i="13"/>
  <c r="AL16" i="13"/>
  <c r="AN16" i="13"/>
  <c r="AN55" i="13"/>
  <c r="AO57" i="13"/>
  <c r="AN57" i="13"/>
  <c r="X12" i="3" l="1"/>
  <c r="W12" i="3" l="1"/>
  <c r="W39" i="10" l="1"/>
  <c r="V82" i="13" l="1"/>
  <c r="M33" i="3"/>
  <c r="M29" i="3"/>
  <c r="L33" i="3"/>
  <c r="L29" i="3"/>
  <c r="K33" i="3"/>
  <c r="K29" i="3"/>
  <c r="J33" i="3"/>
  <c r="J29" i="3"/>
  <c r="I33" i="3"/>
  <c r="I29" i="3"/>
  <c r="H33" i="3"/>
  <c r="H29" i="3"/>
  <c r="G33" i="3"/>
  <c r="G29" i="3"/>
  <c r="F33" i="3"/>
  <c r="F29" i="3"/>
  <c r="E33" i="3"/>
  <c r="E29" i="3"/>
  <c r="D33" i="3"/>
  <c r="D29" i="3"/>
  <c r="C33" i="3"/>
  <c r="C29" i="3"/>
  <c r="B33" i="3"/>
  <c r="B29" i="3"/>
  <c r="N29" i="3"/>
  <c r="N33" i="3"/>
  <c r="O33" i="3"/>
  <c r="O29" i="3"/>
  <c r="P33" i="3"/>
  <c r="P29" i="3"/>
  <c r="Q33" i="3"/>
  <c r="Q29" i="3"/>
  <c r="R33" i="3"/>
  <c r="R29" i="3"/>
  <c r="S33" i="3"/>
  <c r="S29" i="3"/>
  <c r="T33" i="3"/>
  <c r="T29" i="3"/>
  <c r="U33" i="3"/>
  <c r="U29" i="3"/>
  <c r="Z57" i="13"/>
  <c r="X57" i="13"/>
  <c r="W57" i="13"/>
  <c r="V57" i="13"/>
  <c r="Z55" i="13"/>
  <c r="X55" i="13"/>
  <c r="W55" i="13"/>
  <c r="V55" i="13"/>
  <c r="Z18" i="13"/>
  <c r="X18" i="13"/>
  <c r="W18" i="13"/>
  <c r="V18" i="13"/>
  <c r="Z16" i="13"/>
  <c r="X16" i="13"/>
  <c r="W16" i="13"/>
  <c r="V16" i="13"/>
  <c r="AQ57" i="13" l="1"/>
  <c r="AQ16" i="13"/>
  <c r="AQ18" i="13"/>
  <c r="AQ55" i="13"/>
  <c r="AM18" i="4"/>
  <c r="AM24" i="4"/>
  <c r="T46" i="2" l="1"/>
  <c r="T42" i="2"/>
  <c r="I8" i="15" l="1"/>
  <c r="H8" i="15"/>
  <c r="G8" i="15"/>
  <c r="F8" i="15" l="1"/>
  <c r="AN41" i="10" l="1"/>
  <c r="AN39" i="10"/>
  <c r="AN37" i="10"/>
  <c r="AN26" i="10"/>
  <c r="AN27" i="10" s="1"/>
  <c r="AN30" i="10"/>
  <c r="AN29" i="10"/>
  <c r="AN24" i="10"/>
  <c r="AN23" i="10"/>
  <c r="AN22" i="10"/>
  <c r="AN21" i="10"/>
  <c r="AN20" i="10"/>
  <c r="AN18" i="10"/>
  <c r="AN17" i="10"/>
  <c r="AN15" i="10"/>
  <c r="AN13" i="10"/>
  <c r="AN12" i="10"/>
  <c r="AN11" i="10"/>
  <c r="AN10" i="10"/>
  <c r="AN7" i="10"/>
  <c r="AN6" i="10"/>
  <c r="AN5" i="10"/>
  <c r="U44" i="10"/>
  <c r="T44" i="10"/>
  <c r="S44" i="10"/>
  <c r="R44" i="10"/>
  <c r="AM84" i="4"/>
  <c r="AM82" i="4"/>
  <c r="AM80" i="4"/>
  <c r="AM79" i="4"/>
  <c r="AM78" i="4"/>
  <c r="AM77" i="4"/>
  <c r="AM76" i="4"/>
  <c r="AM75" i="4"/>
  <c r="AM74" i="4"/>
  <c r="AM72" i="4"/>
  <c r="AM71" i="4"/>
  <c r="AM70" i="4"/>
  <c r="AM69" i="4"/>
  <c r="AM68" i="4"/>
  <c r="AM67" i="4"/>
  <c r="AM66" i="4"/>
  <c r="AM65" i="4"/>
  <c r="AM64" i="4"/>
  <c r="AM63" i="4"/>
  <c r="AM60" i="4"/>
  <c r="AM59" i="4"/>
  <c r="AM58" i="4"/>
  <c r="AM57" i="4"/>
  <c r="AM56" i="4"/>
  <c r="AM55" i="4"/>
  <c r="AM54" i="4"/>
  <c r="AM53" i="4"/>
  <c r="AM52" i="4"/>
  <c r="AM51" i="4"/>
  <c r="AM50" i="4"/>
  <c r="AM49" i="4"/>
  <c r="AM46" i="4"/>
  <c r="AM45" i="4"/>
  <c r="AM44" i="4"/>
  <c r="AM43" i="4"/>
  <c r="AM40" i="4"/>
  <c r="AM39" i="4"/>
  <c r="AM38" i="4"/>
  <c r="AM36" i="4"/>
  <c r="AM35" i="4"/>
  <c r="AM34" i="4"/>
  <c r="AM33" i="4"/>
  <c r="AM32" i="4"/>
  <c r="AM31" i="4"/>
  <c r="AM28" i="4"/>
  <c r="AM27" i="4"/>
  <c r="AM26" i="4"/>
  <c r="AM23" i="4"/>
  <c r="AM22" i="4"/>
  <c r="AM21" i="4"/>
  <c r="AM17" i="4"/>
  <c r="AM16" i="4"/>
  <c r="AM15" i="4"/>
  <c r="AM14" i="4"/>
  <c r="AM13" i="4"/>
  <c r="AM12" i="4"/>
  <c r="AM11" i="4"/>
  <c r="AM10" i="4"/>
  <c r="AM8" i="4"/>
  <c r="AM6" i="4"/>
  <c r="AM87" i="4"/>
  <c r="AM54" i="2"/>
  <c r="AM37" i="2"/>
  <c r="AM35" i="2"/>
  <c r="AM33" i="2"/>
  <c r="AM31" i="2"/>
  <c r="AM29" i="2"/>
  <c r="AM27" i="2"/>
  <c r="AM26" i="2"/>
  <c r="AM24" i="2"/>
  <c r="AM22" i="2"/>
  <c r="AM21" i="2"/>
  <c r="AM20" i="2"/>
  <c r="AM17" i="2"/>
  <c r="AM15" i="2"/>
  <c r="AM13" i="2"/>
  <c r="AM12" i="2"/>
  <c r="AM11" i="2"/>
  <c r="AM10" i="2"/>
  <c r="AM8" i="2"/>
  <c r="AM6" i="2"/>
  <c r="AM5" i="2"/>
  <c r="F44" i="10"/>
  <c r="J44" i="10"/>
  <c r="N44" i="10"/>
  <c r="I44" i="10"/>
  <c r="M44" i="10"/>
  <c r="H44" i="10"/>
  <c r="G44" i="10"/>
  <c r="L44" i="10"/>
  <c r="K44" i="10"/>
  <c r="O44" i="10"/>
  <c r="P44" i="10"/>
  <c r="Q44" i="10"/>
  <c r="AL34" i="4" l="1"/>
  <c r="AL33" i="4"/>
  <c r="AL37" i="2" l="1"/>
  <c r="AL35" i="2"/>
  <c r="AL33" i="2"/>
  <c r="AL31" i="2"/>
  <c r="AL29" i="2"/>
  <c r="AL27" i="2"/>
  <c r="AL26" i="2"/>
  <c r="AL24" i="2"/>
  <c r="AL22" i="2"/>
  <c r="AL21" i="2"/>
  <c r="AL20" i="2"/>
  <c r="AL17" i="2"/>
  <c r="AL15" i="2"/>
  <c r="AL13" i="2"/>
  <c r="AL12" i="2"/>
  <c r="AL11" i="2"/>
  <c r="AL10" i="2"/>
  <c r="AL8" i="2"/>
  <c r="AL6" i="2"/>
  <c r="AL5" i="2"/>
  <c r="AL87" i="4"/>
  <c r="AL84" i="4"/>
  <c r="AL82" i="4"/>
  <c r="AL80" i="4"/>
  <c r="AL79" i="4"/>
  <c r="AL78" i="4"/>
  <c r="AL77" i="4"/>
  <c r="AL76" i="4"/>
  <c r="AL74" i="4"/>
  <c r="AL72" i="4"/>
  <c r="AL71" i="4"/>
  <c r="AL70" i="4"/>
  <c r="AL69" i="4"/>
  <c r="AL68" i="4"/>
  <c r="AL67" i="4"/>
  <c r="AL66" i="4"/>
  <c r="AL65" i="4"/>
  <c r="AL64" i="4"/>
  <c r="AL63" i="4"/>
  <c r="AL60" i="4"/>
  <c r="AL59" i="4"/>
  <c r="AL58" i="4"/>
  <c r="AL57" i="4"/>
  <c r="AL56" i="4"/>
  <c r="AL55" i="4"/>
  <c r="AL54" i="4"/>
  <c r="AL53" i="4"/>
  <c r="AL52" i="4"/>
  <c r="AL51" i="4"/>
  <c r="AL50" i="4"/>
  <c r="AL49" i="4"/>
  <c r="AL46" i="4"/>
  <c r="AL45" i="4"/>
  <c r="AL44" i="4"/>
  <c r="AL43" i="4"/>
  <c r="AL40" i="4"/>
  <c r="AL39" i="4"/>
  <c r="AL38" i="4"/>
  <c r="AL36" i="4"/>
  <c r="AL35" i="4"/>
  <c r="AL32" i="4"/>
  <c r="AL31" i="4"/>
  <c r="AL28" i="4"/>
  <c r="AL27" i="4"/>
  <c r="AL26" i="4"/>
  <c r="AL24" i="4"/>
  <c r="AL23" i="4"/>
  <c r="AL22" i="4"/>
  <c r="AL21" i="4"/>
  <c r="AL18" i="4"/>
  <c r="AL17" i="4"/>
  <c r="AL16" i="4"/>
  <c r="AL15" i="4"/>
  <c r="AL14" i="4"/>
  <c r="AL13" i="4"/>
  <c r="AL12" i="4"/>
  <c r="AL11" i="4"/>
  <c r="AL10" i="4"/>
  <c r="AL8" i="4"/>
  <c r="AL6" i="4"/>
  <c r="AM24" i="10"/>
  <c r="AM23" i="10"/>
  <c r="AM22" i="10"/>
  <c r="AM21" i="10"/>
  <c r="AM20" i="10"/>
  <c r="AM18" i="10"/>
  <c r="AM17" i="10"/>
  <c r="AM15" i="10"/>
  <c r="AM13" i="10"/>
  <c r="AM12" i="10"/>
  <c r="AM11" i="10"/>
  <c r="AM10" i="10"/>
  <c r="AM6" i="10"/>
  <c r="AM7" i="10"/>
  <c r="AM5" i="10"/>
  <c r="AM41" i="10" l="1"/>
  <c r="AM39" i="10"/>
  <c r="AM37" i="10"/>
  <c r="AM30" i="10"/>
  <c r="AM29" i="10"/>
  <c r="AM26" i="10"/>
  <c r="AM27" i="10" s="1"/>
  <c r="AK96" i="4" l="1"/>
  <c r="AK95" i="4"/>
  <c r="AK71" i="4" l="1"/>
  <c r="AK17" i="4"/>
  <c r="M27" i="10" l="1"/>
  <c r="AK20" i="2" l="1"/>
  <c r="AK93" i="4" l="1"/>
  <c r="AK92" i="4"/>
  <c r="AK84" i="4"/>
  <c r="AK82" i="4"/>
  <c r="AK80" i="4"/>
  <c r="AK79" i="4"/>
  <c r="AK78" i="4"/>
  <c r="AK77" i="4"/>
  <c r="AK76" i="4"/>
  <c r="AK74" i="4"/>
  <c r="AK72" i="4"/>
  <c r="AK70" i="4"/>
  <c r="AK69" i="4"/>
  <c r="AK68" i="4"/>
  <c r="AK67" i="4"/>
  <c r="AK66" i="4"/>
  <c r="AK65" i="4"/>
  <c r="AK64" i="4"/>
  <c r="AK63" i="4"/>
  <c r="AK60" i="4"/>
  <c r="AK59" i="4"/>
  <c r="AK58" i="4"/>
  <c r="AK57" i="4"/>
  <c r="AK56" i="4"/>
  <c r="AK55" i="4"/>
  <c r="AK54" i="4"/>
  <c r="AK53" i="4"/>
  <c r="AK52" i="4"/>
  <c r="AK51" i="4"/>
  <c r="AK50" i="4"/>
  <c r="AK49" i="4"/>
  <c r="AK46" i="4"/>
  <c r="AK45" i="4"/>
  <c r="AK44" i="4"/>
  <c r="AK43" i="4"/>
  <c r="AK40" i="4"/>
  <c r="AK39" i="4"/>
  <c r="AK38" i="4"/>
  <c r="AK36" i="4"/>
  <c r="AK35" i="4"/>
  <c r="AK32" i="4"/>
  <c r="AK31" i="4"/>
  <c r="AK28" i="4"/>
  <c r="AK27" i="4"/>
  <c r="AK26" i="4"/>
  <c r="AK24" i="4"/>
  <c r="AK23" i="4"/>
  <c r="AK22" i="4"/>
  <c r="AK21" i="4"/>
  <c r="AK18" i="4"/>
  <c r="AK16" i="4"/>
  <c r="AK15" i="4"/>
  <c r="AK14" i="4"/>
  <c r="AK13" i="4"/>
  <c r="AK12" i="4"/>
  <c r="AK11" i="4"/>
  <c r="AK10" i="4"/>
  <c r="AK8" i="4"/>
  <c r="AK6" i="4"/>
  <c r="AJ5" i="2"/>
  <c r="AJ6" i="2"/>
  <c r="AJ8" i="2"/>
  <c r="AJ10" i="2"/>
  <c r="AJ11" i="2"/>
  <c r="AJ12" i="2"/>
  <c r="AJ13" i="2"/>
  <c r="AJ15" i="2"/>
  <c r="AJ17" i="2"/>
  <c r="AJ21" i="2"/>
  <c r="AJ22" i="2"/>
  <c r="AJ24" i="2"/>
  <c r="AJ26" i="2"/>
  <c r="AJ27" i="2"/>
  <c r="AJ29" i="2"/>
  <c r="AJ33" i="2"/>
  <c r="AJ35" i="2"/>
  <c r="AJ37" i="2"/>
  <c r="AJ54" i="2"/>
  <c r="J27" i="10"/>
  <c r="AL41" i="10" l="1"/>
  <c r="AL39" i="10"/>
  <c r="AL37" i="10"/>
  <c r="AL30" i="10"/>
  <c r="AL29" i="10"/>
  <c r="AL26" i="10"/>
  <c r="AL27" i="10" s="1"/>
  <c r="AL24" i="10"/>
  <c r="AL23" i="10"/>
  <c r="AL22" i="10"/>
  <c r="AL21" i="10"/>
  <c r="AL20" i="10"/>
  <c r="AL18" i="10"/>
  <c r="AL17" i="10"/>
  <c r="AL15" i="10"/>
  <c r="AL13" i="10"/>
  <c r="AL12" i="10"/>
  <c r="AL11" i="10"/>
  <c r="AL10" i="10"/>
  <c r="AL7" i="10"/>
  <c r="AL6" i="10"/>
  <c r="AL5" i="10"/>
  <c r="AK37" i="2"/>
  <c r="AK35" i="2"/>
  <c r="AK33" i="2"/>
  <c r="AK31" i="2"/>
  <c r="AK29" i="2"/>
  <c r="AK27" i="2"/>
  <c r="AK26" i="2"/>
  <c r="AK24" i="2"/>
  <c r="AK22" i="2"/>
  <c r="AK21" i="2"/>
  <c r="AK17" i="2"/>
  <c r="AK15" i="2"/>
  <c r="AK13" i="2"/>
  <c r="AK12" i="2"/>
  <c r="AK11" i="2"/>
  <c r="AK10" i="2"/>
  <c r="AK8" i="2"/>
  <c r="AK6" i="2"/>
  <c r="AK5" i="2"/>
  <c r="AK41" i="10" l="1"/>
  <c r="AK39" i="10"/>
  <c r="AK37" i="10"/>
  <c r="AJ52" i="4"/>
  <c r="AJ51" i="4"/>
  <c r="AJ50" i="4"/>
  <c r="AJ84" i="4"/>
  <c r="AJ82" i="4"/>
  <c r="AJ80" i="4"/>
  <c r="AJ79" i="4"/>
  <c r="AJ78" i="4"/>
  <c r="AJ77" i="4"/>
  <c r="AJ76" i="4"/>
  <c r="AJ74" i="4"/>
  <c r="AJ72" i="4"/>
  <c r="AJ70" i="4"/>
  <c r="AJ69" i="4"/>
  <c r="AJ68" i="4"/>
  <c r="AJ67" i="4"/>
  <c r="AJ66" i="4"/>
  <c r="AJ65" i="4"/>
  <c r="AJ64" i="4"/>
  <c r="AJ63" i="4"/>
  <c r="AJ60" i="4"/>
  <c r="AJ59" i="4"/>
  <c r="AJ58" i="4"/>
  <c r="AJ57" i="4"/>
  <c r="AJ56" i="4"/>
  <c r="AJ55" i="4"/>
  <c r="AJ54" i="4"/>
  <c r="AJ53" i="4"/>
  <c r="AJ49" i="4"/>
  <c r="AJ46" i="4"/>
  <c r="AJ45" i="4"/>
  <c r="AJ44" i="4"/>
  <c r="AJ43" i="4"/>
  <c r="AJ40" i="4"/>
  <c r="AJ39" i="4"/>
  <c r="AJ38" i="4"/>
  <c r="AJ36" i="4"/>
  <c r="AJ35" i="4"/>
  <c r="AJ32" i="4"/>
  <c r="AJ31" i="4"/>
  <c r="AJ28" i="4"/>
  <c r="AJ27" i="4"/>
  <c r="AJ26" i="4"/>
  <c r="AJ24" i="4"/>
  <c r="AJ23" i="4"/>
  <c r="AJ22" i="4"/>
  <c r="AJ21" i="4"/>
  <c r="AJ18" i="4"/>
  <c r="AJ16" i="4"/>
  <c r="AJ15" i="4"/>
  <c r="AJ14" i="4"/>
  <c r="AJ13" i="4"/>
  <c r="AJ12" i="4"/>
  <c r="AJ11" i="4"/>
  <c r="AJ10" i="4"/>
  <c r="AJ8" i="4"/>
  <c r="AJ6" i="4"/>
  <c r="AK30" i="10" l="1"/>
  <c r="AK29" i="10"/>
  <c r="AK26" i="10"/>
  <c r="AK27" i="10" s="1"/>
  <c r="AK24" i="10"/>
  <c r="AK23" i="10"/>
  <c r="AK22" i="10"/>
  <c r="AK21" i="10"/>
  <c r="AK20" i="10"/>
  <c r="AK18" i="10"/>
  <c r="AK17" i="10"/>
  <c r="AK15" i="10"/>
  <c r="AK13" i="10"/>
  <c r="AK12" i="10"/>
  <c r="AK11" i="10"/>
  <c r="AK10" i="10"/>
  <c r="AK7" i="10"/>
  <c r="AK6" i="10"/>
  <c r="AK5" i="10"/>
  <c r="I89" i="4" l="1"/>
  <c r="B41" i="15" l="1"/>
</calcChain>
</file>

<file path=xl/sharedStrings.xml><?xml version="1.0" encoding="utf-8"?>
<sst xmlns="http://schemas.openxmlformats.org/spreadsheetml/2006/main" count="916" uniqueCount="361">
  <si>
    <t>Non-GAAP Adjustment or Measure</t>
  </si>
  <si>
    <t>Definition</t>
  </si>
  <si>
    <t>Usefulness to Management and Investors</t>
  </si>
  <si>
    <t>PPA effects</t>
  </si>
  <si>
    <t>Purchase price accounting ("PPA") effects reflect the fair value adjustments impacting acquisition accounting and other acquisition adjustments charged to the Consolidated Statement of Operations. This typically relates to inventory, property, plant and equipment, as well as intangible assets, such as developed technology and marketing and customer relationships acquired. The PPA effects are recorded within both cost of revenue and operating expenses in our US GAAP financial statements. These charges are recorded over the estimated useful life of the related acquired asset, and thus are generally recorded over multiple years.</t>
  </si>
  <si>
    <t>We believe that excluding these charges related to fair value adjustments for purposes of calculating certain non-GAAP measures allows the users of our financial statements to better understand the historic and current cost of our products, our gross margin, our operating costs, our operating margin, and also facilitates comparisons to peer companies.</t>
  </si>
  <si>
    <t>Restructuring</t>
  </si>
  <si>
    <t>Restructuring charges are costs associated with a restructuring plan and are primarily related to employee severance and benefit arrangements. Charges related to restructuring are recorded within both cost of revenue and operating expenses in our US GAAP financial statements</t>
  </si>
  <si>
    <t>We exclude restructuring charges, including any adjustments to charges recorded in prior periods, for purposes of calculating certain non-GAAP measures because these costs do not reflect our core operating performance. These adjustments facilitate a useful evaluation of our core operating performance and comparisons to past operating results and provide investors with additional means to evaluate expense trends.</t>
  </si>
  <si>
    <t>Share-based compensation</t>
  </si>
  <si>
    <t>Share-based compensation consists of incentive expense granted to eligible employees in the form of equity based instruments. Charges related to share-based compensation are recorded within both cost of revenue and operating expenses in our US GAAP financial statements.</t>
  </si>
  <si>
    <t>We exclude charges related to share-based compensation for purposes of calculating certain non-GAAP measures because we believe these charges, which are non-cash, are not representative of our core operating performance as they can fluctuate from period to period based on factors that are not within our control, such as our stock price on the dates share-based grants are issued. We believe these adjustments provide investors with a useful view, through the eyes of management, of our core business model, how management currently evaluates core operational performance, and additional means to evaluate expense trends.</t>
  </si>
  <si>
    <t>Merger-related costs</t>
  </si>
  <si>
    <t>Merger-related costs consist of integration costs, contract termination costs, exit activities, stranded IT costs, as well as any recovery such as in the form of a termination fee.</t>
  </si>
  <si>
    <t>We exclude merger-related costs as these items are related to activity which is viewed as non-recurring as they respectively relate to a distinct event. These are not reflective of the Company’s core operating performance for purposes of calculating certain non-GAAP measures. These adjustments facilitate a useful evaluation of our core operating performance and comparisons to past operating results and provide investors with additional means to evaluate expense trends.</t>
  </si>
  <si>
    <t>Other incidentals</t>
  </si>
  <si>
    <t>Other incidentals consist of certain items which may be non-recurring, unusual, infrequent or directly related to an event that is distinct and non-reflective of the Company’s core operating performance. These may include such items as process and product transfer costs, certain charges related to acquisitions and divestitures, litigation and legal settlements, costs associated with the exit of a product line, factory or facility, environmental or governmental settlements, and other items of similar nature.</t>
  </si>
  <si>
    <t>We exclude these certain items which may be non-recurring, unusual, infrequent or directly related to an event that is distinct and non-reflective of the Company’s core operating performance for purposes of calculating certain non-GAAP measures. These adjustments facilitate a useful evaluation of our core operating performance and comparisons to past operating results and provide investors with additional means to evaluate expense trends.</t>
  </si>
  <si>
    <t>Foreign exchange gain (loss)</t>
  </si>
  <si>
    <t>Foreign exchange gain (loss) includes foreign currency translation gains and losses.</t>
  </si>
  <si>
    <t>We exclude these costs for purposes of reporting Non-GAAP Financial income (expense) to facilitate a useful evaluation of our core financial income (expense) performance by removing results associated with factors that are not within our control or are not regularly recurring in nature. We believe this also provides the most appropriate basis for comparisons to past results.</t>
  </si>
  <si>
    <t>Gain (loss) on extinguishment of long-term debt</t>
  </si>
  <si>
    <t>Gain (loss) on extinguishment of long-term debt include costs associated with (early) debt extinguishment.</t>
  </si>
  <si>
    <t>Other financial income (expense)</t>
  </si>
  <si>
    <t>Other financial income (expense) adjustments include such items as gains and losses on investments in marketable and non-marketable equity securities, interest related to non-forecasted uncertain tax positions, debt issuance costs, etc.</t>
  </si>
  <si>
    <t>Non-GAAP Provision for income taxes</t>
  </si>
  <si>
    <t>Non-GAAP provision for income taxes is NXP's GAAP provision for income taxes adjusted for the income tax effects of the adjustments to our GAAP measures, including the effects of purchase price accounting (“PPA”), restructuring costs, share-based compensation, other incidental items and certain other adjustments to financial income (expense) items. Additionally, adjustments are made for the income tax effect of any discrete items that occur in the interim period. Discrete items primarily relate to unexpected tax events that may occur as these amounts cannot be forecasted (e.g., the impact of changes in tax law and/or rates, changes in estimates or resolved tax audits relating to prior year tax provisions, the excess or deficit tax effects on share-based compensation, etc.).</t>
  </si>
  <si>
    <t>The non-GAAP provision for income taxes is used to ascertain and present on a comparable basis NXP's provision for income tax after adjustments, the usefulness of which is described within this table. Additionally, the income tax effects of the adjustments to achieve the noted non-GAAP measures are used to determine NXP's non-GAAP net income (loss) attributable to stockholders and accordingly, our diluted non-GAAP earnings per share attributable to stockholders.</t>
  </si>
  <si>
    <t>Non-GAAP Results relating to equity-accounted investees</t>
  </si>
  <si>
    <t>Non-GAAP Results relating to equity-accounted investees excludes results from NXP’s investments over which it has significant influence, but not control, and whose business activities are not related to the core operating performance of NXP. Under the equity method, the investment is initially recognized at cost. The carrying amount of the investment is adjusted to recognize changes in the NXP’s share of net assets of the equity-accounted investee since the acquisition date. NXP’s share of the results of operations of the equity-accounted investees are recognized in ‘Results relating to equity-accounted investees’.</t>
  </si>
  <si>
    <t>We eliminate the defined results relating to equity-accounted investees for purposes of non-GAAP measures because excluding these results provides management and investors with a more direct composition of NXP's core operating results as well as period on period comparability.</t>
  </si>
  <si>
    <t>Non-GAAP Diluted earnings per share (EPS)</t>
  </si>
  <si>
    <t>Diluted non-GAAP EPS is NXP's Non-GAAP Net income (loss) attributable to stockholders, representing GAAP Net income (loss) attributable to stockholders as adjusted for those items noted within this table, divided by the diluted weighted average number of common shares outstanding during the period, adjusted for treasury shares held.</t>
  </si>
  <si>
    <t>The use of non-GAAP diluted earnings per share allows management to evaluate the operating results of NXP's core businesses and trends across different reporting periods on a consistent basis, independent of non-cash items including, generally, those adjustments noted within this table. In addition, these items are important components of management’s internal performance measurement, as they are used to assess the current and historical financial results of the business and for strategic decision making, preparing budgets, setting targets and forecasting future results. We present non-GAAP diluted earnings per share to enable investors and analysts to understand the results of operations of NXP's core businesses and, to the extent comparable, to compare our results of operations on a more consistent basis against those of other companies in our industry.</t>
  </si>
  <si>
    <t>EBITDA</t>
  </si>
  <si>
    <t>EBITDA is to NXP’s earnings before financial income (expense), taxes, depreciation and amortization. EBITDA excludes certain tax payments that may represent a reduction in cash available to us, does not reflect any cash capital expenditure requirements for the assets being depreciated and amortized that may have to be replaced in the future, does not reflect changes in, or cash requirements for, our working capital needs and does not reflect the significant financial expense, or the cash requirements necessary to service interest payments, on our debts.</t>
  </si>
  <si>
    <t xml:space="preserve">EBITDA is a measure commonly used in our industry and we present EBITDA to enhance the understanding of our operating performance. We view EBITDA as an operating performance measure that provides management, investors and analysts with a measure of operating results unaffected by differences in capital structures, capital investment cycles and ages of related assets among otherwise comparable companies. </t>
  </si>
  <si>
    <t>Adjusted EBITDA and Trailing twelve month adjusted EBITDA</t>
  </si>
  <si>
    <t>Adjusted EBITDA is to EBITDA after adjustments for restructuring costs, share-based compensation, other incidental items, other adjustments and results related to equity accounted investees. Trailing 12 month adjusted EBITDA is this metric over the aggregate period of the previous twelve months.</t>
  </si>
  <si>
    <t>As with EBITDA, we view adjusted EBITDA as an operating performance measure that provides management, investors and analysts with a measure of operating results. In addition, we believe that adjusted EBITDA eliminates the volatility created by the named adjustments between periods. SEC Regulation G and other federal securities laws regulate the use of financial measures that are not prepared in accordance with GAAP. We believe this measure provides important supplemental information to investors. However, we do not, and you should not, rely on non-GAAP financial measures alone as measures of our performance. Additionally, a form of adjusted EBITDA on a trailing twelve month basis is or may be used in agreements governing our outstanding indebtedness, including our revolving credit facility, for debt covenant compliance purposes.</t>
  </si>
  <si>
    <t>Free Cash Flow and Free Cash Flow as a percentage of Revenue</t>
  </si>
  <si>
    <t>Free Cash Flow represents operating cash flow adjusted for net additions to property, plant and equipment. This is also used as the numerator for our Free Cash Flow as a percentage of Revenue.</t>
  </si>
  <si>
    <t>We believe that free cash flow and the associated ratios provide insight into our cash-generating capability and our financial performance, and is an efficient means by which users of our financial statements can evaluate our cash flow after meeting our capital expenditure.</t>
  </si>
  <si>
    <t>NXP Semiconductors</t>
  </si>
  <si>
    <t>GAAP Condensed consolidated statements of operations (unaudited)</t>
  </si>
  <si>
    <t>YTD</t>
  </si>
  <si>
    <t>($ in millions)</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</si>
  <si>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</si>
  <si>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</si>
  <si>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</si>
  <si>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</si>
  <si>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</si>
  <si>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</si>
  <si>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</si>
  <si>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</si>
  <si>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</si>
  <si>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</si>
  <si>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</si>
  <si>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</si>
  <si>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</si>
  <si>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</si>
  <si>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</si>
  <si>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</si>
  <si>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</si>
  <si>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</si>
  <si>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</si>
  <si>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</si>
  <si>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</si>
  <si>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</si>
  <si>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</si>
  <si>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</si>
  <si>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</si>
  <si>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</si>
  <si>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</si>
  <si>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</si>
  <si>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Q1 2025</t>
  </si>
  <si>
    <t>Q2 2025</t>
  </si>
  <si>
    <t>Q3 2025</t>
  </si>
  <si>
    <t>Q4 2025</t>
  </si>
  <si>
    <t>Revenue</t>
  </si>
  <si>
    <t>Cost of revenue</t>
  </si>
  <si>
    <t>Gross profit</t>
  </si>
  <si>
    <t>Research and development</t>
  </si>
  <si>
    <t>Selling, general and administrative</t>
  </si>
  <si>
    <t>Amortization of acquisition-related intangible assets</t>
  </si>
  <si>
    <t>Total operating expenses</t>
  </si>
  <si>
    <t>Other income (expense)</t>
  </si>
  <si>
    <t>Operating income (loss)</t>
  </si>
  <si>
    <t>Financial income (expense):</t>
  </si>
  <si>
    <t xml:space="preserve">  Interest income (expense), net</t>
  </si>
  <si>
    <t xml:space="preserve">  Extinguishment of debt</t>
  </si>
  <si>
    <t>-</t>
  </si>
  <si>
    <t xml:space="preserve">  Other financial income (expense)</t>
  </si>
  <si>
    <t>Income (loss) before income taxes</t>
  </si>
  <si>
    <t>Benefit (provision) for income taxes</t>
  </si>
  <si>
    <t>Results relating to equity-accounted investees</t>
  </si>
  <si>
    <t>Income (loss) from continuing operations</t>
  </si>
  <si>
    <t>Income (loss) from discontinued operations, net of tax</t>
  </si>
  <si>
    <t>Net income (loss)</t>
  </si>
  <si>
    <t>Net (income) loss attributable to non-controlling interests</t>
  </si>
  <si>
    <t>Net income (loss) attributable to stockholders</t>
  </si>
  <si>
    <t>Earnings per share data:</t>
  </si>
  <si>
    <t>Net income (loss) attributable to stockholders per common share in $:</t>
  </si>
  <si>
    <t>Basic earnings per common share in $</t>
  </si>
  <si>
    <t>Income (loss) from discontinued operations</t>
  </si>
  <si>
    <t xml:space="preserve">Net income (loss) </t>
  </si>
  <si>
    <t>Diluted earnings per common share in $</t>
  </si>
  <si>
    <t xml:space="preserve">Income (loss) from continuing operations </t>
  </si>
  <si>
    <t xml:space="preserve">Income (loss) from discontinued operations </t>
  </si>
  <si>
    <t>Weighted average number of shares of common stock used in computing per share amounts (in thousands):</t>
  </si>
  <si>
    <t xml:space="preserve"> - Basic</t>
  </si>
  <si>
    <t xml:space="preserve"> - Diluted</t>
  </si>
  <si>
    <t>Cash dividends declared per share</t>
  </si>
  <si>
    <t>Condensed consolidated balance sheets (unaudited)</t>
  </si>
  <si>
    <t>Assets</t>
  </si>
  <si>
    <t>Current assets:</t>
  </si>
  <si>
    <t>Cash and cash equivalents</t>
  </si>
  <si>
    <t>Short-term deposits</t>
  </si>
  <si>
    <t>Accounts receivable - net</t>
  </si>
  <si>
    <t>Assets held for sale</t>
  </si>
  <si>
    <t>Inventories</t>
  </si>
  <si>
    <t>Other current assets</t>
  </si>
  <si>
    <t>Total current assets</t>
  </si>
  <si>
    <t>Non-current assets:</t>
  </si>
  <si>
    <t>Investments in equity-accounted investees</t>
  </si>
  <si>
    <t>Non-current assets of discontinued operations</t>
  </si>
  <si>
    <t>Deferred tax assets</t>
  </si>
  <si>
    <t>Other non-current assets</t>
  </si>
  <si>
    <t>Property, plant and equipment</t>
  </si>
  <si>
    <t>Identified intangible assets</t>
  </si>
  <si>
    <t>Goodwill</t>
  </si>
  <si>
    <t>Total non-current assets</t>
  </si>
  <si>
    <t>Total assets</t>
  </si>
  <si>
    <t>Liabilities and equity</t>
  </si>
  <si>
    <t>Current liabilities:</t>
  </si>
  <si>
    <r>
      <t xml:space="preserve">Accounts payable </t>
    </r>
    <r>
      <rPr>
        <sz val="9"/>
        <color rgb="FFFF0000"/>
        <rFont val="Arial"/>
        <family val="2"/>
      </rPr>
      <t>1)</t>
    </r>
  </si>
  <si>
    <t>Liabilities held for sale</t>
  </si>
  <si>
    <t>Current liabilities of discontinued operations</t>
  </si>
  <si>
    <t>Restructuring liabilities - current</t>
  </si>
  <si>
    <r>
      <t xml:space="preserve">Other current liabilities </t>
    </r>
    <r>
      <rPr>
        <sz val="9"/>
        <color rgb="FFFF0000"/>
        <rFont val="Arial"/>
        <family val="2"/>
      </rPr>
      <t>1)</t>
    </r>
  </si>
  <si>
    <t>Short-term debt</t>
  </si>
  <si>
    <t>Total current liabilities</t>
  </si>
  <si>
    <t>Non-current liabilities:</t>
  </si>
  <si>
    <t>Long-term debt</t>
  </si>
  <si>
    <t>Non-current liabilities of discontinued operations</t>
  </si>
  <si>
    <t xml:space="preserve">Restructuring liabilities - non-current </t>
  </si>
  <si>
    <t xml:space="preserve">Deferred tax liabilities </t>
  </si>
  <si>
    <t>Other non-current liabilities</t>
  </si>
  <si>
    <t>Total non-current liabilities</t>
  </si>
  <si>
    <t>Non-controlling interests</t>
  </si>
  <si>
    <t>Stockholder's equity</t>
  </si>
  <si>
    <t>Total equity</t>
  </si>
  <si>
    <t>Total liabilities and equity</t>
  </si>
  <si>
    <r>
      <rPr>
        <sz val="9"/>
        <color rgb="FFFF0000"/>
        <rFont val="Arial"/>
        <family val="2"/>
      </rPr>
      <t>1)</t>
    </r>
    <r>
      <rPr>
        <sz val="9"/>
        <color indexed="8"/>
        <rFont val="Arial"/>
        <family val="2"/>
      </rPr>
      <t xml:space="preserve">  As of Q1 2021, we have reclassified certain amounts previously presented in “Accounts Payable” to “Other current liabilities” to conform to current period presentation. Prior periods have not been reclassified.</t>
    </r>
  </si>
  <si>
    <t>Condensed consolidated statements of cash flows (unaudited)</t>
  </si>
  <si>
    <t>Cash Flows from operating activities</t>
  </si>
  <si>
    <t>(Income) loss from discontinued operations, net of tax</t>
  </si>
  <si>
    <t>Adjustments to reconcile net income (loss) to net cash provided by (used for):</t>
  </si>
  <si>
    <t>Depreciation, amortization and impairment</t>
  </si>
  <si>
    <t>Amortization of discount (premium) on debt, net</t>
  </si>
  <si>
    <t>Amortization of debt issuance costs</t>
  </si>
  <si>
    <t>Net (gain) loss on sale of assets</t>
  </si>
  <si>
    <t>(Gain) loss on extinguishment of debt</t>
  </si>
  <si>
    <t>(Gain) loss on equity securities, net</t>
  </si>
  <si>
    <t>Deferred tax expense (benefit)</t>
  </si>
  <si>
    <r>
      <t>Changes in operating assets and Liabilities:</t>
    </r>
    <r>
      <rPr>
        <sz val="9"/>
        <color rgb="FFFF0000"/>
        <rFont val="Arial"/>
        <family val="2"/>
      </rPr>
      <t xml:space="preserve"> </t>
    </r>
  </si>
  <si>
    <t xml:space="preserve">  (Increase) decrease in receivables and other current assets</t>
  </si>
  <si>
    <t xml:space="preserve">  (Increase) decrease in inventories</t>
  </si>
  <si>
    <t xml:space="preserve">  (Increase) decrease in other non-current assets</t>
  </si>
  <si>
    <t xml:space="preserve">  Increase (decrease) in accounts payable and other liabilities</t>
  </si>
  <si>
    <t xml:space="preserve">Exchange differences </t>
  </si>
  <si>
    <t>Other items</t>
  </si>
  <si>
    <t>Net cash provided by (used for) operating activities</t>
  </si>
  <si>
    <t>Cash flows from investing activities:</t>
  </si>
  <si>
    <t>Purchase of identified intangible assets</t>
  </si>
  <si>
    <t>Capital expenditures on property, plant and equipment</t>
  </si>
  <si>
    <t>Purchase of leased equipment</t>
  </si>
  <si>
    <t>Insurance recoveries received for equipment damage</t>
  </si>
  <si>
    <t>Proceeds from disposals of property, plant and equipment</t>
  </si>
  <si>
    <t>Proceeds from disposals of assets held for sale</t>
  </si>
  <si>
    <t>Advance payment from sale of property, plant and equipment</t>
  </si>
  <si>
    <t>Purchase of interests in businesses, net of cash acquired</t>
  </si>
  <si>
    <t>Proceeds from sale of interests in businesses, net of cash divested</t>
  </si>
  <si>
    <t>Proceeds from return of equity investment</t>
  </si>
  <si>
    <t>Investment in short-term deposits</t>
  </si>
  <si>
    <t>Proceeds of short-term deposits</t>
  </si>
  <si>
    <t>Purchase of investments</t>
  </si>
  <si>
    <t>Proceeds from sale of investments</t>
  </si>
  <si>
    <t>Other</t>
  </si>
  <si>
    <t>Net cash (used for) provided by investing activities</t>
  </si>
  <si>
    <t>Cash flows from financing activities:</t>
  </si>
  <si>
    <t>Net (repayments) borrowings of short-term debt</t>
  </si>
  <si>
    <t>Payment of cash convertible note</t>
  </si>
  <si>
    <t>Proceeds from settlement of cash convertible note hedge</t>
  </si>
  <si>
    <t>Payment of bond hedge derivatives - convertible option</t>
  </si>
  <si>
    <t>Repayment of Bridge Loan</t>
  </si>
  <si>
    <t>Proceeds from Bridge Loan</t>
  </si>
  <si>
    <t>Amounts drawn under the revolving credit facility</t>
  </si>
  <si>
    <t>Repayments under the revolving credit facility</t>
  </si>
  <si>
    <t>Repurchase of long-term debt</t>
  </si>
  <si>
    <t>Principal payments on long-term debt</t>
  </si>
  <si>
    <t>Proceeds from the issuance of long-term debt</t>
  </si>
  <si>
    <t>Cash paid for debt issuance costs</t>
  </si>
  <si>
    <t>Proceeds from issuance of commercial paper notes</t>
  </si>
  <si>
    <t>Repayment of commercial paper notes</t>
  </si>
  <si>
    <t>Cash paid for terminated acquisition adjustment event</t>
  </si>
  <si>
    <t>Dividends paid to non-controlling interests</t>
  </si>
  <si>
    <t>Dividends paid to common stockholders</t>
  </si>
  <si>
    <t>Purchase of non-controlling interest shares</t>
  </si>
  <si>
    <t>Net proceeds from the issuance of common stock</t>
  </si>
  <si>
    <t>Proceeds from issuance of common stock through stock plans</t>
  </si>
  <si>
    <t>Purchase of treasury shares and restricted stock unit withholdings</t>
  </si>
  <si>
    <t>Cash paid on behalf of shareholders for tax on repurchased shares</t>
  </si>
  <si>
    <t>Other, net</t>
  </si>
  <si>
    <t>Net cash provided by (used for) financing activities</t>
  </si>
  <si>
    <t>Net cash provided by (used for) continuing operations</t>
  </si>
  <si>
    <t>Cash flows from discontinued operations:</t>
  </si>
  <si>
    <t>Net cash provided by (used for) investing activities</t>
  </si>
  <si>
    <t>Net cash provided by (used for) discontinued operations</t>
  </si>
  <si>
    <t>Net cash provided by (used for) continuing and discontinued operations</t>
  </si>
  <si>
    <t>Effect of changes in exchange  rate on cash positions</t>
  </si>
  <si>
    <t>Increase (decrease) in cash and cash equivalents</t>
  </si>
  <si>
    <t>Cash and cash equivalents at beginning of period</t>
  </si>
  <si>
    <t>Cash and cash equivalents at end of period</t>
  </si>
  <si>
    <t>Less: cash and cash equivalents at end of period-discontinued operations</t>
  </si>
  <si>
    <t>Cash and cash equivalents at  end of period-continuing operations</t>
  </si>
  <si>
    <t>Net cash paid during the period for:</t>
  </si>
  <si>
    <t>Interest</t>
  </si>
  <si>
    <t>Income taxes</t>
  </si>
  <si>
    <t>Net gain (loss) on sale of assets:</t>
  </si>
  <si>
    <t>Cash proceeds from the sale of assets</t>
  </si>
  <si>
    <t>Book value of these assets</t>
  </si>
  <si>
    <t>Non-cash investing activities:</t>
  </si>
  <si>
    <t>Non-cash capital expenditures</t>
  </si>
  <si>
    <t>Non-cash adjustment related to the adoption of ASC 606:</t>
  </si>
  <si>
    <t>Receivables and other current assets</t>
  </si>
  <si>
    <t>Revenue by End Market (unaudited)</t>
  </si>
  <si>
    <t xml:space="preserve">Automotive </t>
  </si>
  <si>
    <t>Industrial &amp; IoT</t>
  </si>
  <si>
    <t>Mobile</t>
  </si>
  <si>
    <t>Communication Infrastructure &amp; Other</t>
  </si>
  <si>
    <t>Standard Products</t>
  </si>
  <si>
    <t>Total NXP revenue</t>
  </si>
  <si>
    <r>
      <rPr>
        <sz val="10"/>
        <color rgb="FFFF0000"/>
        <rFont val="Arial"/>
        <family val="2"/>
      </rPr>
      <t xml:space="preserve">1) </t>
    </r>
    <r>
      <rPr>
        <sz val="10"/>
        <color theme="1"/>
        <rFont val="Arial"/>
        <family val="2"/>
      </rPr>
      <t>As of Jan 1st 2019, revenue and cost associated with Manufacturing Service Agreements will be consolidated under Other Income &amp; Expense and will no longer be reported as Revenue</t>
    </r>
  </si>
  <si>
    <t>Revenue by Sales Channel (unaudited)</t>
  </si>
  <si>
    <t>Distributors</t>
  </si>
  <si>
    <t>China</t>
  </si>
  <si>
    <t>APAC, excluding China</t>
  </si>
  <si>
    <t>EMEA (Europe, the Middle East and Africa)</t>
  </si>
  <si>
    <t>Americas</t>
  </si>
  <si>
    <t>Revenue - High Performance Mixed Signal Focus Areas (unaudited)</t>
  </si>
  <si>
    <t>Automotive</t>
  </si>
  <si>
    <t>Total HPMS</t>
  </si>
  <si>
    <t>Revenue structure 2014</t>
  </si>
  <si>
    <t>Identification</t>
  </si>
  <si>
    <t>Industrial &amp; Infrastructure</t>
  </si>
  <si>
    <t>Portable &amp; Computing</t>
  </si>
  <si>
    <t xml:space="preserve">Financial Reconciliation - GAAP to non-GAAP (unaudited) </t>
  </si>
  <si>
    <t>GAAP gross profit</t>
  </si>
  <si>
    <t>Other adjustments</t>
  </si>
  <si>
    <t>Non-GAAP gross profit</t>
  </si>
  <si>
    <t>GAAP Gross Margin</t>
  </si>
  <si>
    <t>Non-GAAP Gross Margin</t>
  </si>
  <si>
    <t>GAAP research and development</t>
  </si>
  <si>
    <t>Non-GAAP research and development</t>
  </si>
  <si>
    <t>GAAP selling, general and administrative</t>
  </si>
  <si>
    <t>Non-GAAP selling, general and administrative</t>
  </si>
  <si>
    <t>GAAP amortization of acquisition-related intangible assets</t>
  </si>
  <si>
    <t>Non-GAAP amortization of acquisition-related intangible assets</t>
  </si>
  <si>
    <t>GAAP other income (expense)</t>
  </si>
  <si>
    <t>Non-GAAP other income (expense)</t>
  </si>
  <si>
    <t>GAAP operating income (loss)</t>
  </si>
  <si>
    <t>Non-GAAP operating income (loss)</t>
  </si>
  <si>
    <t>GAAP Operating Margin</t>
  </si>
  <si>
    <t>Non-GAAP Operating Margin</t>
  </si>
  <si>
    <t>GAAP financial income (expense)</t>
  </si>
  <si>
    <t>Non-cash interest expense on convertible Notes</t>
  </si>
  <si>
    <t>Foreign exchange gain (loss) on debt</t>
  </si>
  <si>
    <t>Changes in fair value of warrant liability</t>
  </si>
  <si>
    <t>Other financial expense</t>
  </si>
  <si>
    <t>Non-GAAP Financial income (expense)</t>
  </si>
  <si>
    <t>GAAP Income tax benefit (provision)</t>
  </si>
  <si>
    <t>Income tax effect</t>
  </si>
  <si>
    <t>Non-GAAP Income tax benefit (provision)</t>
  </si>
  <si>
    <t>GAAP Results relating to equity-accounted investees</t>
  </si>
  <si>
    <t>GAAP Income (loss) from continuing operations</t>
  </si>
  <si>
    <t>Non-GAAP Income (loss) from continuing operations</t>
  </si>
  <si>
    <t>GAAP Income (loss) from discontinued operations - net of tax</t>
  </si>
  <si>
    <t>Non-GAAP Income (loss) from discontinued operations</t>
  </si>
  <si>
    <t>GAAP net income (loss) attributable to stockholders</t>
  </si>
  <si>
    <t xml:space="preserve">   Foreign exchange loss</t>
  </si>
  <si>
    <t xml:space="preserve">   Gain (loss) on extinguishment of long-term debt</t>
  </si>
  <si>
    <t xml:space="preserve">   Other financial expense</t>
  </si>
  <si>
    <t xml:space="preserve">   Income tax effect</t>
  </si>
  <si>
    <t xml:space="preserve">   Results relating to equity-accounted investees</t>
  </si>
  <si>
    <t>Non-GAAP net income (loss) attributable to stockholders</t>
  </si>
  <si>
    <t>GAAP weighted average shares - diluted</t>
  </si>
  <si>
    <t>Non-GAAP adjustment</t>
  </si>
  <si>
    <t>Non-GAAP weighted average shares - diluted</t>
  </si>
  <si>
    <t>GAAP diluted net income (loss) per share</t>
  </si>
  <si>
    <t>Non-GAAP diluted net income (loss) per share</t>
  </si>
  <si>
    <t>GAAP Financial income (expense)</t>
  </si>
  <si>
    <t>Foreign exchange loss</t>
  </si>
  <si>
    <t>GAAP Other income (expense)</t>
  </si>
  <si>
    <t>PPA effect</t>
  </si>
  <si>
    <t>Non-GAAP Other income (expense)</t>
  </si>
  <si>
    <t>Results of equity-accounted investees, excluding Foundry investees</t>
  </si>
  <si>
    <t>EBITDA and Adjusted EBITDA (unaudited)</t>
  </si>
  <si>
    <t>Net Income</t>
  </si>
  <si>
    <t xml:space="preserve">   Income (loss) from discontinued operations</t>
  </si>
  <si>
    <t>Reconciling items to EBITDA (Non-GAAP):</t>
  </si>
  <si>
    <t xml:space="preserve"> Financial (income) expense</t>
  </si>
  <si>
    <t xml:space="preserve">     (Benefit) provision for income taxes</t>
  </si>
  <si>
    <t xml:space="preserve">     Depreciation and impairment</t>
  </si>
  <si>
    <t xml:space="preserve">     Amortization</t>
  </si>
  <si>
    <t>EBITDA (Non-GAAP)</t>
  </si>
  <si>
    <t>Results of equity-accounted investees, excl. foundry investees</t>
  </si>
  <si>
    <t xml:space="preserve">Purchase accounting effect on inventory  </t>
  </si>
  <si>
    <t>Purchase accounting effect on asset sale</t>
  </si>
  <si>
    <r>
      <t xml:space="preserve">Restructuring </t>
    </r>
    <r>
      <rPr>
        <sz val="10"/>
        <color rgb="FFFF0000"/>
        <rFont val="Arial"/>
        <family val="2"/>
      </rPr>
      <t xml:space="preserve">1) </t>
    </r>
  </si>
  <si>
    <t xml:space="preserve">Merger-related costs </t>
  </si>
  <si>
    <r>
      <t xml:space="preserve">    Other incidental items </t>
    </r>
    <r>
      <rPr>
        <sz val="10"/>
        <color rgb="FFFF0000"/>
        <rFont val="Arial"/>
        <family val="2"/>
      </rPr>
      <t>1)</t>
    </r>
  </si>
  <si>
    <t xml:space="preserve">    Other adjustments</t>
  </si>
  <si>
    <t>Adjusted EBITDA (Non-GAAP)</t>
  </si>
  <si>
    <t>Trailing 12 month adjusted EBITDA (Non-GAAP)</t>
  </si>
  <si>
    <r>
      <rPr>
        <sz val="9"/>
        <color rgb="FFFF0000"/>
        <rFont val="Arial"/>
        <family val="2"/>
      </rPr>
      <t>1)</t>
    </r>
    <r>
      <rPr>
        <sz val="9"/>
        <color theme="1"/>
        <rFont val="Arial"/>
        <family val="2"/>
      </rPr>
      <t xml:space="preserve"> Excluding depreciation and impairment property, plant and equipment and amortization software related to:</t>
    </r>
  </si>
  <si>
    <t>restructuring</t>
  </si>
  <si>
    <t>other incidental items</t>
  </si>
  <si>
    <t>Free Cash Flow (unaudited)</t>
  </si>
  <si>
    <t xml:space="preserve"> </t>
  </si>
  <si>
    <t xml:space="preserve">Net cash provided by (used for) operating activities </t>
  </si>
  <si>
    <t xml:space="preserve">   Net capital expenditures on property, plant and equipment</t>
  </si>
  <si>
    <t>Non-GAAP free cash flow</t>
  </si>
  <si>
    <t>Non-GAAP free cash flow as a percent of Revenue</t>
  </si>
  <si>
    <t>Trailing 12 month Non-GAAP free cash flow</t>
  </si>
  <si>
    <t xml:space="preserve">Trailing 12 month Non-GAAP free cash flow as a percent of Revenue </t>
  </si>
  <si>
    <t>Inventories (unaudited)</t>
  </si>
  <si>
    <t>Raw materials</t>
  </si>
  <si>
    <t>Work in process</t>
  </si>
  <si>
    <t>Finished goods</t>
  </si>
  <si>
    <t>Total Inventories</t>
  </si>
  <si>
    <t>Working Capital Metrics</t>
  </si>
  <si>
    <t>Current:</t>
  </si>
  <si>
    <t>Days inventory outstanding (DIO)</t>
  </si>
  <si>
    <r>
      <t xml:space="preserve">Days payable outstanding (DPO) </t>
    </r>
    <r>
      <rPr>
        <sz val="10"/>
        <color rgb="FFFF0000"/>
        <rFont val="Arial"/>
        <family val="2"/>
      </rPr>
      <t>1)</t>
    </r>
  </si>
  <si>
    <t>Days sales outstanding (DSO)</t>
  </si>
  <si>
    <r>
      <t xml:space="preserve">Cash conversion cycle </t>
    </r>
    <r>
      <rPr>
        <sz val="10"/>
        <color rgb="FFFF0000"/>
        <rFont val="Arial"/>
        <family val="2"/>
      </rPr>
      <t>1)</t>
    </r>
  </si>
  <si>
    <t>New:</t>
  </si>
  <si>
    <r>
      <rPr>
        <sz val="10"/>
        <color rgb="FFFF0000"/>
        <rFont val="Arial"/>
        <family val="2"/>
      </rPr>
      <t>1)</t>
    </r>
    <r>
      <rPr>
        <sz val="10"/>
        <color theme="1"/>
        <rFont val="Arial"/>
        <family val="2"/>
      </rPr>
      <t xml:space="preserve"> We have reclassified certain amounts previously presented in “Accounts Payable” to “Other current liabilities” to conform to current period presentation. The impact of the reclassification on DPO (decreasing impact) and CCC (increasing impact) for each quarter was as follows:</t>
    </r>
  </si>
  <si>
    <t>Reclassification impact in days:</t>
  </si>
  <si>
    <t>Net Debt (unaudited)</t>
  </si>
  <si>
    <t>Total debt</t>
  </si>
  <si>
    <t>Cash, cash equivalents and short-term deposits</t>
  </si>
  <si>
    <t>Net debt</t>
  </si>
  <si>
    <t xml:space="preserve"> - </t>
  </si>
  <si>
    <t>Direct</t>
  </si>
  <si>
    <r>
      <rPr>
        <sz val="10"/>
        <color rgb="FFFF0000"/>
        <rFont val="Arial"/>
        <family val="2"/>
      </rPr>
      <t>2)</t>
    </r>
    <r>
      <rPr>
        <sz val="10"/>
        <rFont val="Arial"/>
        <family val="2"/>
      </rPr>
      <t xml:space="preserve"> As of December 31, 2025, and applied retrospectively for all the periods presented, the Company revised its methodology for attributing revenue to geographic areas to reflect the location where sales originate, which represents where critical commercial decisions are made.</t>
    </r>
  </si>
  <si>
    <t>This may differ from the customer's shipped-to location. The change in reporting basis was made to more appropriately reflect how we manage our business.</t>
  </si>
  <si>
    <r>
      <t xml:space="preserve">Manufacturing Service Agreements  </t>
    </r>
    <r>
      <rPr>
        <sz val="10"/>
        <color rgb="FFFF0000"/>
        <rFont val="Arial"/>
        <family val="2"/>
      </rPr>
      <t>1)</t>
    </r>
  </si>
  <si>
    <r>
      <t xml:space="preserve">Revenue by Geographic Region (unaudited) </t>
    </r>
    <r>
      <rPr>
        <sz val="11"/>
        <color rgb="FFFF0000"/>
        <rFont val="Arial"/>
        <family val="2"/>
      </rPr>
      <t>2)</t>
    </r>
  </si>
  <si>
    <t xml:space="preserve">We have reclassified prior period amounts to conform to the current period classification. For 2025, the largest impacts from the change were to the Americas region and the China region, which reflected changes of approximately 104.9% and (57.0)%, respectively.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</si>
</sst>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44" formatCode="_(&quot;$&quot;* #,##0.00_);_(&quot;$&quot;* \(#,##0.00\);_(&quot;$&quot;* &quot;-&quot;??_);_(@_)"/>
    <numFmt numFmtId="43" formatCode="_(* #,##0.00_);_(* \(#,##0.00\);_(* &quot;-&quot;??_);_(@_)"/>
    <numFmt numFmtId="164" formatCode="0.0%"/>
    <numFmt numFmtId="165" formatCode="0.00_);\(0.00\)"/>
    <numFmt numFmtId="166" formatCode="0_);\(0\)"/>
    <numFmt numFmtId="167" formatCode="#,##0.000"/>
    <numFmt numFmtId="168" formatCode="#,##0.0000"/>
    <numFmt numFmtId="169" formatCode="_(* #,##0.0000_);_(* \(#,##0.0000\);_(* &quot;-&quot;??_);_(@_)"/>
    <numFmt numFmtId="170" formatCode="0.000000"/>
    <numFmt numFmtId="171" formatCode="_(* #,##0_);_(* \(#,##0\);_(* &quot;-&quot;??_);_(@_)"/>
  </numFmts>
  <fonts count="34" x14ac:knownFonts="1">
    <font>
      <sz val="10"/>
      <color theme="1"/>
      <name val="Arial"/>
      <family val="2"/>
    </font>
    <font>
      <sz val="11"/>
      <color theme="1"/>
      <name val="Calibri"/>
      <family val="2"/>
      <scheme val="minor"/>
    </font>
    <font>
      <sz val="11"/>
      <color theme="1"/>
      <name val="Calibri"/>
      <family val="2"/>
      <scheme val="minor"/>
    </font>
    <font>
      <sz val="10"/>
      <color indexed="8"/>
      <name val="Arial"/>
      <family val="2"/>
    </font>
    <font>
      <b/>
      <sz val="10"/>
      <color indexed="8"/>
      <name val="Arial"/>
      <family val="2"/>
    </font>
    <font>
      <sz val="10"/>
      <name val="Arial"/>
      <family val="2"/>
    </font>
    <font>
      <sz val="10"/>
      <color indexed="8"/>
      <name val="Arial"/>
      <family val="2"/>
    </font>
    <font>
      <b/>
      <sz val="11"/>
      <color indexed="8"/>
      <name val="Arial"/>
      <family val="2"/>
    </font>
    <font>
      <b/>
      <u/>
      <sz val="10"/>
      <color indexed="8"/>
      <name val="Arial"/>
      <family val="2"/>
    </font>
    <font>
      <b/>
      <sz val="9"/>
      <color indexed="8"/>
      <name val="Arial"/>
      <family val="2"/>
    </font>
    <font>
      <sz val="9"/>
      <color indexed="8"/>
      <name val="Arial"/>
      <family val="2"/>
    </font>
    <font>
      <i/>
      <sz val="10"/>
      <color indexed="8"/>
      <name val="Arial"/>
      <family val="2"/>
    </font>
    <font>
      <sz val="8"/>
      <name val="Arial"/>
      <family val="2"/>
    </font>
    <font>
      <i/>
      <sz val="9"/>
      <color indexed="8"/>
      <name val="Arial"/>
      <family val="2"/>
    </font>
    <font>
      <b/>
      <u/>
      <sz val="9"/>
      <name val="Arial"/>
      <family val="2"/>
    </font>
    <font>
      <sz val="10"/>
      <color indexed="8"/>
      <name val="Arial"/>
      <family val="2"/>
    </font>
    <font>
      <b/>
      <u/>
      <sz val="9"/>
      <color indexed="8"/>
      <name val="Arial"/>
      <family val="2"/>
    </font>
    <font>
      <sz val="9"/>
      <name val="Arial"/>
      <family val="2"/>
    </font>
    <font>
      <sz val="10"/>
      <color theme="1"/>
      <name val="Arial"/>
      <family val="2"/>
    </font>
    <font>
      <b/>
      <sz val="10"/>
      <color theme="1"/>
      <name val="Arial"/>
      <family val="2"/>
    </font>
    <font>
      <sz val="10"/>
      <color rgb="FFFF0000"/>
      <name val="Arial"/>
      <family val="2"/>
    </font>
    <font>
      <b/>
      <sz val="9"/>
      <color theme="1"/>
      <name val="Arial"/>
      <family val="2"/>
    </font>
    <font>
      <sz val="9"/>
      <color theme="1"/>
      <name val="Arial"/>
      <family val="2"/>
    </font>
    <font>
      <vertAlign val="superscript"/>
      <sz val="10"/>
      <color theme="1"/>
      <name val="Arial"/>
      <family val="2"/>
    </font>
    <font>
      <b/>
      <i/>
      <u/>
      <sz val="11"/>
      <color theme="1"/>
      <name val="Arial"/>
      <family val="2"/>
    </font>
    <font>
      <sz val="9"/>
      <color rgb="FFFF0000"/>
      <name val="Arial"/>
      <family val="2"/>
    </font>
    <font>
      <sz val="12"/>
      <color rgb="FFFF0000"/>
      <name val="Arial"/>
      <family val="2"/>
    </font>
    <font>
      <b/>
      <sz val="9"/>
      <name val="Arial"/>
      <family val="2"/>
    </font>
    <font>
      <b/>
      <i/>
      <sz val="9"/>
      <color indexed="8"/>
      <name val="Arial"/>
      <family val="2"/>
    </font>
    <font>
      <b/>
      <sz val="8"/>
      <color theme="1"/>
      <name val="Arial"/>
      <family val="2"/>
    </font>
    <font>
      <sz val="8"/>
      <color theme="1"/>
      <name val="Arial"/>
      <family val="2"/>
    </font>
    <font>
      <sz val="8"/>
      <color rgb="FF000000"/>
      <name val="Symbol"/>
      <family val="1"/>
      <charset val="2"/>
    </font>
    <font>
      <sz val="8"/>
      <color rgb="FF000000"/>
      <name val="Arial"/>
      <family val="2"/>
    </font>
    <font>
      <sz val="11"/>
      <color rgb="FFFF000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2"/>
        <bgColor indexed="64"/>
      </patternFill>
    </fill>
  </fills>
  <borders count="91">
    <border>
      <left/>
      <right/>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style="dotted">
        <color indexed="64"/>
      </left>
      <right style="dotted">
        <color indexed="64"/>
      </right>
      <top style="medium">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right/>
      <top/>
      <bottom style="medium">
        <color indexed="64"/>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medium">
        <color indexed="64"/>
      </bottom>
      <diagonal/>
    </border>
    <border>
      <left/>
      <right style="dotted">
        <color indexed="64"/>
      </right>
      <top style="medium">
        <color indexed="64"/>
      </top>
      <bottom style="medium">
        <color indexed="64"/>
      </bottom>
      <diagonal/>
    </border>
    <border>
      <left/>
      <right style="dotted">
        <color indexed="64"/>
      </right>
      <top/>
      <bottom/>
      <diagonal/>
    </border>
    <border>
      <left/>
      <right style="dotted">
        <color indexed="64"/>
      </right>
      <top/>
      <bottom style="medium">
        <color indexed="64"/>
      </bottom>
      <diagonal/>
    </border>
    <border>
      <left style="dotted">
        <color indexed="64"/>
      </left>
      <right style="dotted">
        <color indexed="64"/>
      </right>
      <top style="thin">
        <color indexed="64"/>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style="thin">
        <color indexed="64"/>
      </top>
      <bottom style="double">
        <color indexed="64"/>
      </bottom>
      <diagonal/>
    </border>
    <border>
      <left style="medium">
        <color indexed="64"/>
      </left>
      <right style="dashed">
        <color indexed="64"/>
      </right>
      <top/>
      <bottom/>
      <diagonal/>
    </border>
    <border>
      <left style="medium">
        <color indexed="64"/>
      </left>
      <right style="dashed">
        <color indexed="64"/>
      </right>
      <top style="thin">
        <color indexed="64"/>
      </top>
      <bottom style="double">
        <color indexed="64"/>
      </bottom>
      <diagonal/>
    </border>
    <border>
      <left style="dashed">
        <color indexed="64"/>
      </left>
      <right style="dashed">
        <color indexed="64"/>
      </right>
      <top/>
      <bottom style="medium">
        <color indexed="64"/>
      </bottom>
      <diagonal/>
    </border>
    <border>
      <left style="medium">
        <color indexed="64"/>
      </left>
      <right style="dashed">
        <color indexed="64"/>
      </right>
      <top/>
      <bottom style="medium">
        <color indexed="64"/>
      </bottom>
      <diagonal/>
    </border>
    <border>
      <left/>
      <right style="dashed">
        <color indexed="64"/>
      </right>
      <top/>
      <bottom/>
      <diagonal/>
    </border>
    <border>
      <left style="dashed">
        <color indexed="64"/>
      </left>
      <right style="medium">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dashed">
        <color indexed="64"/>
      </left>
      <right style="medium">
        <color indexed="64"/>
      </right>
      <top style="thin">
        <color indexed="64"/>
      </top>
      <bottom style="double">
        <color indexed="64"/>
      </bottom>
      <diagonal/>
    </border>
    <border>
      <left/>
      <right style="dashed">
        <color indexed="64"/>
      </right>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diagonal/>
    </border>
    <border>
      <left style="dotted">
        <color indexed="64"/>
      </left>
      <right style="dashed">
        <color indexed="64"/>
      </right>
      <top/>
      <bottom/>
      <diagonal/>
    </border>
    <border>
      <left style="medium">
        <color indexed="64"/>
      </left>
      <right style="dashed">
        <color indexed="64"/>
      </right>
      <top style="thin">
        <color indexed="64"/>
      </top>
      <bottom style="medium">
        <color indexed="64"/>
      </bottom>
      <diagonal/>
    </border>
    <border>
      <left style="medium">
        <color indexed="64"/>
      </left>
      <right style="dashed">
        <color indexed="64"/>
      </right>
      <top style="medium">
        <color indexed="64"/>
      </top>
      <bottom/>
      <diagonal/>
    </border>
    <border>
      <left/>
      <right style="dashed">
        <color indexed="64"/>
      </right>
      <top style="medium">
        <color indexed="64"/>
      </top>
      <bottom/>
      <diagonal/>
    </border>
    <border>
      <left/>
      <right style="dotted">
        <color indexed="64"/>
      </right>
      <top/>
      <bottom style="thin">
        <color indexed="64"/>
      </bottom>
      <diagonal/>
    </border>
    <border>
      <left style="dashed">
        <color indexed="64"/>
      </left>
      <right/>
      <top style="thin">
        <color indexed="64"/>
      </top>
      <bottom style="double">
        <color indexed="64"/>
      </bottom>
      <diagonal/>
    </border>
    <border>
      <left style="dashed">
        <color indexed="64"/>
      </left>
      <right/>
      <top/>
      <bottom/>
      <diagonal/>
    </border>
    <border>
      <left style="medium">
        <color indexed="64"/>
      </left>
      <right style="medium">
        <color indexed="64"/>
      </right>
      <top/>
      <bottom style="double">
        <color indexed="64"/>
      </bottom>
      <diagonal/>
    </border>
    <border>
      <left style="dotted">
        <color indexed="64"/>
      </left>
      <right style="dashed">
        <color indexed="64"/>
      </right>
      <top/>
      <bottom style="medium">
        <color indexed="64"/>
      </bottom>
      <diagonal/>
    </border>
    <border>
      <left/>
      <right style="dotted">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dashed">
        <color indexed="64"/>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tted">
        <color indexed="64"/>
      </right>
      <top style="medium">
        <color indexed="64"/>
      </top>
      <bottom/>
      <diagonal/>
    </border>
    <border>
      <left/>
      <right style="medium">
        <color indexed="64"/>
      </right>
      <top style="thin">
        <color indexed="64"/>
      </top>
      <bottom/>
      <diagonal/>
    </border>
    <border>
      <left/>
      <right style="dotted">
        <color indexed="64"/>
      </right>
      <top style="thin">
        <color indexed="64"/>
      </top>
      <bottom/>
      <diagonal/>
    </border>
    <border>
      <left style="medium">
        <color indexed="64"/>
      </left>
      <right style="dotted">
        <color indexed="64"/>
      </right>
      <top style="thin">
        <color indexed="64"/>
      </top>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diagonal/>
    </border>
    <border>
      <left/>
      <right/>
      <top style="medium">
        <color indexed="64"/>
      </top>
      <bottom style="medium">
        <color indexed="64"/>
      </bottom>
      <diagonal/>
    </border>
    <border>
      <left style="dashed">
        <color indexed="64"/>
      </left>
      <right/>
      <top style="medium">
        <color indexed="64"/>
      </top>
      <bottom/>
      <diagonal/>
    </border>
    <border>
      <left style="dashed">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double">
        <color indexed="64"/>
      </bottom>
      <diagonal/>
    </border>
    <border>
      <left style="medium">
        <color indexed="64"/>
      </left>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4">
    <xf numFmtId="0" fontId="0" fillId="0" borderId="0"/>
    <xf numFmtId="44" fontId="6" fillId="0" borderId="0" applyFont="0" applyFill="0" applyBorder="0" applyAlignment="0" applyProtection="0"/>
    <xf numFmtId="0" fontId="5" fillId="0" borderId="0"/>
    <xf numFmtId="0" fontId="18" fillId="0" borderId="0"/>
    <xf numFmtId="9" fontId="6"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18" fillId="0" borderId="0" applyFont="0" applyFill="0" applyBorder="0" applyAlignment="0" applyProtection="0"/>
  </cellStyleXfs>
  <cellXfs count="582">
    <xf numFmtId="0" fontId="0" fillId="0" borderId="0" xfId="0"/>
    <xf numFmtId="0" fontId="7" fillId="0" borderId="0" xfId="0" applyFont="1"/>
    <xf numFmtId="0" fontId="8" fillId="0" borderId="0" xfId="0" applyFont="1"/>
    <xf numFmtId="0" fontId="0" fillId="0" borderId="2" xfId="0" applyBorder="1" applyAlignment="1">
      <alignment horizontal="right" vertical="top" wrapText="1"/>
    </xf>
    <xf numFmtId="0" fontId="0" fillId="0" borderId="1" xfId="0" applyBorder="1" applyAlignment="1">
      <alignment horizontal="left" vertical="top" wrapText="1"/>
    </xf>
    <xf numFmtId="0" fontId="0" fillId="0" borderId="0" xfId="0" applyAlignment="1">
      <alignment horizontal="right" vertical="top"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11" fillId="0" borderId="5" xfId="0" applyFont="1" applyBorder="1" applyAlignment="1">
      <alignment horizontal="left" vertical="top" wrapText="1"/>
    </xf>
    <xf numFmtId="0" fontId="10" fillId="0" borderId="3" xfId="0" applyFont="1" applyBorder="1" applyAlignment="1">
      <alignment horizontal="left" vertical="top" wrapText="1"/>
    </xf>
    <xf numFmtId="0" fontId="0" fillId="0" borderId="1" xfId="0" applyBorder="1" applyAlignment="1">
      <alignment horizontal="left" indent="1"/>
    </xf>
    <xf numFmtId="0" fontId="10" fillId="0" borderId="1" xfId="0" applyFont="1" applyBorder="1" applyAlignment="1">
      <alignment horizontal="left" indent="1"/>
    </xf>
    <xf numFmtId="0" fontId="11" fillId="0" borderId="6" xfId="0" applyFont="1" applyBorder="1" applyAlignment="1">
      <alignment horizontal="left" vertical="top" wrapText="1"/>
    </xf>
    <xf numFmtId="0" fontId="10" fillId="0" borderId="2" xfId="0" applyFont="1" applyBorder="1" applyAlignment="1">
      <alignment horizontal="left" vertical="top" wrapText="1"/>
    </xf>
    <xf numFmtId="0" fontId="9" fillId="0" borderId="2" xfId="0" applyFont="1" applyBorder="1" applyAlignment="1">
      <alignment horizontal="left" vertical="top" wrapText="1"/>
    </xf>
    <xf numFmtId="0" fontId="4" fillId="0" borderId="0" xfId="0" applyFont="1"/>
    <xf numFmtId="0" fontId="0" fillId="0" borderId="7" xfId="0" applyBorder="1" applyAlignment="1">
      <alignment horizontal="right" vertical="top" wrapText="1"/>
    </xf>
    <xf numFmtId="0" fontId="0" fillId="0" borderId="8" xfId="0" applyBorder="1" applyAlignment="1">
      <alignment horizontal="right" vertical="top" wrapText="1"/>
    </xf>
    <xf numFmtId="0" fontId="0" fillId="0" borderId="10" xfId="0" applyBorder="1" applyAlignment="1">
      <alignment horizontal="right" vertical="top" wrapText="1"/>
    </xf>
    <xf numFmtId="0" fontId="0" fillId="0" borderId="12" xfId="0" applyBorder="1" applyAlignment="1">
      <alignment horizontal="right" vertical="top" wrapText="1"/>
    </xf>
    <xf numFmtId="0" fontId="10" fillId="0" borderId="4" xfId="0" applyFont="1" applyBorder="1" applyAlignment="1">
      <alignment horizontal="left" vertical="top" wrapText="1"/>
    </xf>
    <xf numFmtId="0" fontId="13" fillId="0" borderId="1" xfId="0" applyFont="1" applyBorder="1" applyAlignment="1">
      <alignment horizontal="left" vertical="top" wrapText="1"/>
    </xf>
    <xf numFmtId="0" fontId="14" fillId="0" borderId="2" xfId="0" applyFont="1" applyBorder="1"/>
    <xf numFmtId="0" fontId="9" fillId="0" borderId="2" xfId="0" applyFont="1" applyBorder="1"/>
    <xf numFmtId="0" fontId="10" fillId="0" borderId="2" xfId="0" applyFont="1" applyBorder="1"/>
    <xf numFmtId="0" fontId="15" fillId="0" borderId="0" xfId="0" applyFont="1"/>
    <xf numFmtId="0" fontId="16" fillId="0" borderId="2" xfId="0" applyFont="1" applyBorder="1" applyAlignment="1">
      <alignment horizontal="left" vertical="top" wrapText="1"/>
    </xf>
    <xf numFmtId="0" fontId="0" fillId="0" borderId="1" xfId="0" applyBorder="1"/>
    <xf numFmtId="0" fontId="4" fillId="0" borderId="1" xfId="0" applyFont="1" applyBorder="1" applyAlignment="1">
      <alignment horizontal="left" indent="1"/>
    </xf>
    <xf numFmtId="0" fontId="4" fillId="0" borderId="1" xfId="0" applyFont="1" applyBorder="1"/>
    <xf numFmtId="41" fontId="0" fillId="0" borderId="7" xfId="0" applyNumberFormat="1" applyBorder="1" applyAlignment="1">
      <alignment horizontal="right" vertical="top" wrapText="1"/>
    </xf>
    <xf numFmtId="41" fontId="0" fillId="0" borderId="0" xfId="0" applyNumberFormat="1"/>
    <xf numFmtId="41" fontId="0" fillId="0" borderId="2" xfId="0" applyNumberFormat="1" applyBorder="1" applyAlignment="1">
      <alignment horizontal="right" vertical="top" wrapText="1"/>
    </xf>
    <xf numFmtId="37" fontId="0" fillId="0" borderId="2" xfId="0" applyNumberFormat="1" applyBorder="1" applyAlignment="1">
      <alignment horizontal="right" vertical="top" wrapText="1"/>
    </xf>
    <xf numFmtId="37" fontId="0" fillId="0" borderId="7" xfId="0" applyNumberFormat="1" applyBorder="1" applyAlignment="1">
      <alignment horizontal="right" vertical="top" wrapText="1"/>
    </xf>
    <xf numFmtId="37" fontId="0" fillId="0" borderId="0" xfId="0" applyNumberFormat="1" applyAlignment="1">
      <alignment horizontal="right" vertical="top" wrapText="1"/>
    </xf>
    <xf numFmtId="37" fontId="0" fillId="0" borderId="13" xfId="0" applyNumberFormat="1" applyBorder="1" applyAlignment="1">
      <alignment horizontal="right" vertical="top" wrapText="1"/>
    </xf>
    <xf numFmtId="37" fontId="0" fillId="0" borderId="15" xfId="0" applyNumberFormat="1" applyBorder="1" applyAlignment="1">
      <alignment horizontal="right" vertical="top" wrapText="1"/>
    </xf>
    <xf numFmtId="0" fontId="0" fillId="0" borderId="17" xfId="0" applyBorder="1"/>
    <xf numFmtId="37" fontId="0" fillId="0" borderId="7" xfId="0" applyNumberFormat="1" applyBorder="1" applyAlignment="1">
      <alignment wrapText="1"/>
    </xf>
    <xf numFmtId="37" fontId="0" fillId="0" borderId="7" xfId="0" applyNumberFormat="1" applyBorder="1"/>
    <xf numFmtId="37" fontId="0" fillId="0" borderId="17" xfId="0" applyNumberFormat="1" applyBorder="1"/>
    <xf numFmtId="37" fontId="0" fillId="0" borderId="2" xfId="0" applyNumberFormat="1" applyBorder="1"/>
    <xf numFmtId="37" fontId="0" fillId="0" borderId="0" xfId="0" applyNumberFormat="1"/>
    <xf numFmtId="37" fontId="0" fillId="0" borderId="8" xfId="0" applyNumberFormat="1" applyBorder="1" applyAlignment="1">
      <alignment horizontal="right" vertical="top" wrapText="1"/>
    </xf>
    <xf numFmtId="37" fontId="0" fillId="0" borderId="10" xfId="0" applyNumberFormat="1" applyBorder="1" applyAlignment="1">
      <alignment horizontal="right" vertical="top" wrapText="1"/>
    </xf>
    <xf numFmtId="165" fontId="0" fillId="0" borderId="7" xfId="0" applyNumberFormat="1" applyBorder="1" applyAlignment="1">
      <alignment horizontal="right" vertical="top" wrapText="1"/>
    </xf>
    <xf numFmtId="3" fontId="0" fillId="0" borderId="7" xfId="0" applyNumberFormat="1" applyBorder="1" applyAlignment="1">
      <alignment horizontal="right" vertical="top" wrapText="1"/>
    </xf>
    <xf numFmtId="37" fontId="4" fillId="0" borderId="7" xfId="0" applyNumberFormat="1" applyFont="1" applyBorder="1" applyAlignment="1">
      <alignment horizontal="right" vertical="top" wrapText="1"/>
    </xf>
    <xf numFmtId="37" fontId="4" fillId="0" borderId="10" xfId="0" applyNumberFormat="1" applyFont="1" applyBorder="1" applyAlignment="1">
      <alignment horizontal="right" vertical="top" wrapText="1"/>
    </xf>
    <xf numFmtId="37" fontId="4" fillId="0" borderId="2" xfId="0" applyNumberFormat="1" applyFont="1" applyBorder="1" applyAlignment="1">
      <alignment horizontal="right" vertical="top" wrapText="1"/>
    </xf>
    <xf numFmtId="0" fontId="10" fillId="0" borderId="2" xfId="0" applyFont="1" applyBorder="1" applyAlignment="1">
      <alignment vertical="top" wrapText="1"/>
    </xf>
    <xf numFmtId="37" fontId="0" fillId="0" borderId="7" xfId="0" applyNumberFormat="1" applyBorder="1" applyAlignment="1">
      <alignment horizontal="right" wrapText="1"/>
    </xf>
    <xf numFmtId="0" fontId="0" fillId="0" borderId="19" xfId="0" applyBorder="1"/>
    <xf numFmtId="37" fontId="4" fillId="0" borderId="22" xfId="0" applyNumberFormat="1" applyFont="1" applyBorder="1"/>
    <xf numFmtId="37" fontId="4" fillId="0" borderId="23" xfId="0" applyNumberFormat="1" applyFont="1" applyBorder="1"/>
    <xf numFmtId="41" fontId="4" fillId="0" borderId="2" xfId="0" applyNumberFormat="1" applyFont="1" applyBorder="1" applyAlignment="1">
      <alignment horizontal="right" vertical="top" wrapText="1"/>
    </xf>
    <xf numFmtId="0" fontId="0" fillId="0" borderId="17" xfId="0" applyBorder="1" applyAlignment="1">
      <alignment horizontal="right" vertical="top" wrapText="1"/>
    </xf>
    <xf numFmtId="0" fontId="0" fillId="0" borderId="24" xfId="0" applyBorder="1" applyAlignment="1">
      <alignment horizontal="right" vertical="top" wrapText="1"/>
    </xf>
    <xf numFmtId="0" fontId="9" fillId="0" borderId="3" xfId="0" applyFont="1" applyBorder="1" applyAlignment="1">
      <alignment horizontal="left" vertical="top" wrapText="1"/>
    </xf>
    <xf numFmtId="0" fontId="10" fillId="0" borderId="2" xfId="0" applyFont="1" applyBorder="1" applyAlignment="1">
      <alignment wrapText="1"/>
    </xf>
    <xf numFmtId="0" fontId="9" fillId="0" borderId="2" xfId="0" applyFont="1" applyBorder="1" applyAlignment="1">
      <alignment wrapText="1"/>
    </xf>
    <xf numFmtId="0" fontId="10" fillId="0" borderId="2" xfId="0" applyFont="1" applyBorder="1" applyAlignment="1">
      <alignment horizontal="left" wrapText="1"/>
    </xf>
    <xf numFmtId="0" fontId="9" fillId="0" borderId="2" xfId="0" applyFont="1" applyBorder="1" applyAlignment="1">
      <alignment horizontal="left" wrapText="1"/>
    </xf>
    <xf numFmtId="0" fontId="10" fillId="0" borderId="2" xfId="0" applyFont="1" applyBorder="1" applyAlignment="1">
      <alignment vertical="distributed" wrapText="1"/>
    </xf>
    <xf numFmtId="0" fontId="0" fillId="0" borderId="0" xfId="0" applyAlignment="1">
      <alignment wrapText="1"/>
    </xf>
    <xf numFmtId="37" fontId="19" fillId="0" borderId="7" xfId="0" applyNumberFormat="1" applyFont="1" applyBorder="1" applyAlignment="1">
      <alignment wrapText="1"/>
    </xf>
    <xf numFmtId="0" fontId="19" fillId="0" borderId="0" xfId="0" applyFont="1" applyAlignment="1">
      <alignment wrapText="1"/>
    </xf>
    <xf numFmtId="37" fontId="19" fillId="0" borderId="17" xfId="0" applyNumberFormat="1" applyFont="1" applyBorder="1" applyAlignment="1">
      <alignment wrapText="1"/>
    </xf>
    <xf numFmtId="37" fontId="0" fillId="0" borderId="15" xfId="0" applyNumberFormat="1" applyBorder="1" applyAlignment="1">
      <alignment horizontal="right" wrapText="1"/>
    </xf>
    <xf numFmtId="37" fontId="0" fillId="0" borderId="13" xfId="0" applyNumberFormat="1" applyBorder="1" applyAlignment="1">
      <alignment horizontal="right" wrapText="1"/>
    </xf>
    <xf numFmtId="37" fontId="4" fillId="0" borderId="7" xfId="0" applyNumberFormat="1" applyFont="1" applyBorder="1" applyAlignment="1">
      <alignment horizontal="right" wrapText="1"/>
    </xf>
    <xf numFmtId="37" fontId="4" fillId="0" borderId="0" xfId="0" applyNumberFormat="1" applyFont="1"/>
    <xf numFmtId="0" fontId="4" fillId="0" borderId="9" xfId="0" applyFont="1" applyBorder="1" applyAlignment="1">
      <alignment horizontal="center" vertical="top" wrapText="1"/>
    </xf>
    <xf numFmtId="0" fontId="0" fillId="0" borderId="26" xfId="0" applyBorder="1"/>
    <xf numFmtId="37" fontId="4" fillId="0" borderId="7" xfId="0" applyNumberFormat="1" applyFont="1" applyBorder="1" applyAlignment="1">
      <alignment wrapText="1"/>
    </xf>
    <xf numFmtId="37" fontId="4" fillId="0" borderId="0" xfId="0" applyNumberFormat="1" applyFont="1" applyAlignment="1">
      <alignment horizontal="right" vertical="top" wrapText="1"/>
    </xf>
    <xf numFmtId="41" fontId="0" fillId="0" borderId="0" xfId="0" applyNumberFormat="1" applyAlignment="1">
      <alignment horizontal="right" vertical="top" wrapText="1"/>
    </xf>
    <xf numFmtId="41" fontId="4" fillId="0" borderId="0" xfId="0" applyNumberFormat="1" applyFont="1" applyAlignment="1">
      <alignment horizontal="right" vertical="top" wrapText="1"/>
    </xf>
    <xf numFmtId="0" fontId="20" fillId="0" borderId="0" xfId="0" applyFont="1"/>
    <xf numFmtId="37" fontId="5" fillId="0" borderId="7" xfId="0" applyNumberFormat="1" applyFont="1" applyBorder="1" applyAlignment="1">
      <alignment horizontal="right" vertical="top" wrapText="1"/>
    </xf>
    <xf numFmtId="37" fontId="4" fillId="0" borderId="24" xfId="0" applyNumberFormat="1" applyFont="1" applyBorder="1" applyAlignment="1">
      <alignment horizontal="right" vertical="top" wrapText="1"/>
    </xf>
    <xf numFmtId="37" fontId="0" fillId="0" borderId="25" xfId="0" applyNumberFormat="1" applyBorder="1" applyAlignment="1">
      <alignment horizontal="right" vertical="top" wrapText="1"/>
    </xf>
    <xf numFmtId="37" fontId="0" fillId="0" borderId="24" xfId="0" applyNumberFormat="1" applyBorder="1" applyAlignment="1">
      <alignment horizontal="right" vertical="top" wrapText="1"/>
    </xf>
    <xf numFmtId="37" fontId="0" fillId="0" borderId="25" xfId="0" applyNumberFormat="1" applyBorder="1" applyAlignment="1">
      <alignment horizontal="right" wrapText="1"/>
    </xf>
    <xf numFmtId="37" fontId="4" fillId="0" borderId="24" xfId="0" applyNumberFormat="1" applyFont="1" applyBorder="1" applyAlignment="1">
      <alignment wrapText="1"/>
    </xf>
    <xf numFmtId="37" fontId="4" fillId="0" borderId="24" xfId="0" applyNumberFormat="1" applyFont="1" applyBorder="1" applyAlignment="1">
      <alignment horizontal="right" wrapText="1"/>
    </xf>
    <xf numFmtId="165" fontId="0" fillId="0" borderId="24" xfId="0" applyNumberFormat="1" applyBorder="1" applyAlignment="1">
      <alignment horizontal="right" vertical="top" wrapText="1"/>
    </xf>
    <xf numFmtId="3" fontId="0" fillId="0" borderId="24" xfId="0" applyNumberFormat="1" applyBorder="1" applyAlignment="1">
      <alignment horizontal="right" vertical="top" wrapText="1"/>
    </xf>
    <xf numFmtId="37" fontId="19" fillId="0" borderId="0" xfId="0" applyNumberFormat="1" applyFont="1" applyAlignment="1">
      <alignment wrapText="1"/>
    </xf>
    <xf numFmtId="37" fontId="0" fillId="0" borderId="17" xfId="0" applyNumberFormat="1" applyBorder="1" applyAlignment="1">
      <alignment horizontal="right" vertical="top" wrapText="1"/>
    </xf>
    <xf numFmtId="37" fontId="0" fillId="0" borderId="30" xfId="0" applyNumberFormat="1" applyBorder="1" applyAlignment="1">
      <alignment horizontal="right" vertical="top" wrapText="1"/>
    </xf>
    <xf numFmtId="37" fontId="4" fillId="0" borderId="17" xfId="0" applyNumberFormat="1" applyFont="1" applyBorder="1" applyAlignment="1">
      <alignment horizontal="right" vertical="top" wrapText="1"/>
    </xf>
    <xf numFmtId="37" fontId="4" fillId="0" borderId="17" xfId="0" applyNumberFormat="1" applyFont="1" applyBorder="1" applyAlignment="1">
      <alignment horizontal="right" wrapText="1"/>
    </xf>
    <xf numFmtId="37" fontId="4" fillId="0" borderId="32" xfId="0" applyNumberFormat="1" applyFont="1" applyBorder="1"/>
    <xf numFmtId="0" fontId="7" fillId="0" borderId="0" xfId="0" applyFont="1" applyProtection="1">
      <protection locked="0"/>
    </xf>
    <xf numFmtId="0" fontId="0" fillId="0" borderId="0" xfId="0" applyProtection="1">
      <protection locked="0"/>
    </xf>
    <xf numFmtId="37" fontId="0" fillId="0" borderId="18" xfId="0" applyNumberFormat="1" applyBorder="1" applyAlignment="1">
      <alignment horizontal="right" vertical="top" wrapText="1"/>
    </xf>
    <xf numFmtId="37" fontId="0" fillId="0" borderId="18" xfId="0" applyNumberFormat="1" applyBorder="1" applyAlignment="1">
      <alignment horizontal="right" wrapText="1"/>
    </xf>
    <xf numFmtId="37" fontId="4" fillId="0" borderId="17" xfId="0" applyNumberFormat="1" applyFont="1" applyBorder="1" applyAlignment="1">
      <alignment wrapText="1"/>
    </xf>
    <xf numFmtId="165" fontId="0" fillId="0" borderId="17" xfId="0" applyNumberFormat="1" applyBorder="1" applyAlignment="1">
      <alignment horizontal="right" vertical="top" wrapText="1"/>
    </xf>
    <xf numFmtId="3" fontId="0" fillId="0" borderId="17" xfId="0" applyNumberFormat="1" applyBorder="1" applyAlignment="1">
      <alignment horizontal="right" vertical="top" wrapText="1"/>
    </xf>
    <xf numFmtId="0" fontId="0" fillId="0" borderId="20" xfId="0" applyBorder="1" applyAlignment="1">
      <alignment horizontal="right" vertical="top" wrapText="1"/>
    </xf>
    <xf numFmtId="0" fontId="4" fillId="0" borderId="3" xfId="0" applyFont="1" applyBorder="1"/>
    <xf numFmtId="41" fontId="4" fillId="0" borderId="17" xfId="0" applyNumberFormat="1" applyFont="1" applyBorder="1" applyAlignment="1">
      <alignment horizontal="right" vertical="top" wrapText="1"/>
    </xf>
    <xf numFmtId="41" fontId="0" fillId="0" borderId="17" xfId="0" applyNumberFormat="1" applyBorder="1" applyAlignment="1">
      <alignment horizontal="right" vertical="top" wrapText="1"/>
    </xf>
    <xf numFmtId="41" fontId="4" fillId="0" borderId="20" xfId="0" applyNumberFormat="1" applyFont="1" applyBorder="1" applyAlignment="1">
      <alignment horizontal="right" vertical="top" wrapText="1"/>
    </xf>
    <xf numFmtId="0" fontId="21" fillId="0" borderId="0" xfId="0" applyFont="1" applyAlignment="1">
      <alignment wrapText="1"/>
    </xf>
    <xf numFmtId="0" fontId="22" fillId="0" borderId="0" xfId="0" applyFont="1" applyAlignment="1">
      <alignment wrapText="1"/>
    </xf>
    <xf numFmtId="0" fontId="22" fillId="0" borderId="0" xfId="0" applyFont="1" applyAlignment="1">
      <alignment horizontal="left" wrapText="1" indent="1"/>
    </xf>
    <xf numFmtId="41" fontId="22" fillId="0" borderId="0" xfId="0" applyNumberFormat="1" applyFont="1"/>
    <xf numFmtId="166" fontId="22" fillId="0" borderId="1" xfId="0" applyNumberFormat="1" applyFont="1" applyBorder="1"/>
    <xf numFmtId="164" fontId="21" fillId="0" borderId="1" xfId="4" applyNumberFormat="1" applyFont="1" applyBorder="1"/>
    <xf numFmtId="166" fontId="22" fillId="0" borderId="1" xfId="1" applyNumberFormat="1" applyFont="1" applyBorder="1"/>
    <xf numFmtId="41" fontId="21" fillId="0" borderId="17" xfId="0" applyNumberFormat="1" applyFont="1" applyBorder="1"/>
    <xf numFmtId="41" fontId="22" fillId="0" borderId="17" xfId="0" applyNumberFormat="1" applyFont="1" applyBorder="1"/>
    <xf numFmtId="41" fontId="21" fillId="0" borderId="34" xfId="0" applyNumberFormat="1" applyFont="1" applyBorder="1"/>
    <xf numFmtId="0" fontId="0" fillId="0" borderId="35" xfId="0" applyBorder="1"/>
    <xf numFmtId="41" fontId="21" fillId="0" borderId="36" xfId="0" applyNumberFormat="1" applyFont="1" applyBorder="1"/>
    <xf numFmtId="41" fontId="22" fillId="0" borderId="36" xfId="0" applyNumberFormat="1" applyFont="1" applyBorder="1"/>
    <xf numFmtId="41" fontId="21" fillId="0" borderId="37" xfId="0" applyNumberFormat="1" applyFont="1" applyBorder="1"/>
    <xf numFmtId="166" fontId="22" fillId="0" borderId="36" xfId="0" applyNumberFormat="1" applyFont="1" applyBorder="1"/>
    <xf numFmtId="41" fontId="22" fillId="0" borderId="37" xfId="0" applyNumberFormat="1" applyFont="1" applyBorder="1"/>
    <xf numFmtId="166" fontId="21" fillId="0" borderId="36" xfId="4" applyNumberFormat="1" applyFont="1" applyBorder="1"/>
    <xf numFmtId="41" fontId="22" fillId="0" borderId="36" xfId="4" applyNumberFormat="1" applyFont="1" applyBorder="1"/>
    <xf numFmtId="0" fontId="0" fillId="0" borderId="38" xfId="0" applyBorder="1"/>
    <xf numFmtId="41" fontId="21" fillId="0" borderId="38" xfId="0" applyNumberFormat="1" applyFont="1" applyBorder="1"/>
    <xf numFmtId="41" fontId="22" fillId="0" borderId="38" xfId="0" applyNumberFormat="1" applyFont="1" applyBorder="1"/>
    <xf numFmtId="41" fontId="21" fillId="0" borderId="39" xfId="0" applyNumberFormat="1" applyFont="1" applyBorder="1"/>
    <xf numFmtId="166" fontId="22" fillId="0" borderId="38" xfId="0" applyNumberFormat="1" applyFont="1" applyBorder="1"/>
    <xf numFmtId="164" fontId="21" fillId="0" borderId="38" xfId="4" applyNumberFormat="1" applyFont="1" applyBorder="1"/>
    <xf numFmtId="41" fontId="22" fillId="0" borderId="39" xfId="0" applyNumberFormat="1" applyFont="1" applyBorder="1"/>
    <xf numFmtId="164" fontId="21" fillId="0" borderId="38" xfId="1" applyNumberFormat="1" applyFont="1" applyBorder="1"/>
    <xf numFmtId="166" fontId="21" fillId="0" borderId="38" xfId="4" applyNumberFormat="1" applyFont="1" applyBorder="1"/>
    <xf numFmtId="0" fontId="22" fillId="0" borderId="0" xfId="0" applyFont="1"/>
    <xf numFmtId="0" fontId="0" fillId="0" borderId="2" xfId="0" applyBorder="1"/>
    <xf numFmtId="41" fontId="0" fillId="0" borderId="36" xfId="0" applyNumberFormat="1" applyBorder="1"/>
    <xf numFmtId="41" fontId="0" fillId="0" borderId="17" xfId="0" applyNumberFormat="1" applyBorder="1"/>
    <xf numFmtId="41" fontId="0" fillId="0" borderId="2" xfId="0" applyNumberFormat="1" applyBorder="1"/>
    <xf numFmtId="41" fontId="22" fillId="0" borderId="44" xfId="0" applyNumberFormat="1" applyFont="1" applyBorder="1"/>
    <xf numFmtId="41" fontId="22" fillId="0" borderId="46" xfId="0" applyNumberFormat="1" applyFont="1" applyBorder="1"/>
    <xf numFmtId="37" fontId="0" fillId="0" borderId="0" xfId="0" applyNumberFormat="1" applyAlignment="1">
      <alignment horizontal="right" wrapText="1"/>
    </xf>
    <xf numFmtId="0" fontId="0" fillId="0" borderId="48" xfId="0" applyBorder="1"/>
    <xf numFmtId="41" fontId="21" fillId="0" borderId="47" xfId="0" applyNumberFormat="1" applyFont="1" applyBorder="1"/>
    <xf numFmtId="41" fontId="22" fillId="0" borderId="47" xfId="0" applyNumberFormat="1" applyFont="1" applyBorder="1"/>
    <xf numFmtId="41" fontId="21" fillId="0" borderId="49" xfId="0" applyNumberFormat="1" applyFont="1" applyBorder="1"/>
    <xf numFmtId="166" fontId="22" fillId="0" borderId="47" xfId="0" applyNumberFormat="1" applyFont="1" applyBorder="1"/>
    <xf numFmtId="164" fontId="21" fillId="0" borderId="47" xfId="4" applyNumberFormat="1" applyFont="1" applyBorder="1"/>
    <xf numFmtId="166" fontId="22" fillId="0" borderId="47" xfId="1" applyNumberFormat="1" applyFont="1" applyBorder="1"/>
    <xf numFmtId="41" fontId="22" fillId="0" borderId="49" xfId="0" applyNumberFormat="1" applyFont="1" applyBorder="1"/>
    <xf numFmtId="164" fontId="21" fillId="0" borderId="47" xfId="1" applyNumberFormat="1" applyFont="1" applyBorder="1"/>
    <xf numFmtId="166" fontId="21" fillId="0" borderId="47" xfId="4" applyNumberFormat="1" applyFont="1" applyBorder="1"/>
    <xf numFmtId="41" fontId="22" fillId="0" borderId="47" xfId="4" applyNumberFormat="1" applyFont="1" applyBorder="1"/>
    <xf numFmtId="41" fontId="22" fillId="0" borderId="43" xfId="0" applyNumberFormat="1" applyFont="1" applyBorder="1"/>
    <xf numFmtId="41" fontId="4" fillId="0" borderId="36" xfId="0" applyNumberFormat="1" applyFont="1" applyBorder="1" applyAlignment="1">
      <alignment horizontal="right" vertical="top" wrapText="1"/>
    </xf>
    <xf numFmtId="41" fontId="0" fillId="0" borderId="36" xfId="0" applyNumberFormat="1" applyBorder="1" applyAlignment="1">
      <alignment horizontal="right" vertical="top" wrapText="1"/>
    </xf>
    <xf numFmtId="41" fontId="4" fillId="0" borderId="40" xfId="0" applyNumberFormat="1" applyFont="1" applyBorder="1" applyAlignment="1">
      <alignment horizontal="right" vertical="top" wrapText="1"/>
    </xf>
    <xf numFmtId="165" fontId="0" fillId="0" borderId="18" xfId="0" applyNumberFormat="1" applyBorder="1" applyAlignment="1">
      <alignment horizontal="right" wrapText="1"/>
    </xf>
    <xf numFmtId="41" fontId="22" fillId="0" borderId="17" xfId="0" applyNumberFormat="1" applyFont="1" applyBorder="1" applyAlignment="1">
      <alignment horizontal="right"/>
    </xf>
    <xf numFmtId="0" fontId="4" fillId="0" borderId="27" xfId="0" applyFont="1" applyBorder="1" applyAlignment="1">
      <alignment horizontal="center" vertical="top" wrapText="1"/>
    </xf>
    <xf numFmtId="0" fontId="4" fillId="0" borderId="29" xfId="0" applyFont="1" applyBorder="1" applyAlignment="1">
      <alignment horizontal="center" vertical="top" wrapText="1"/>
    </xf>
    <xf numFmtId="41" fontId="0" fillId="0" borderId="38" xfId="0" applyNumberFormat="1" applyBorder="1"/>
    <xf numFmtId="41" fontId="21" fillId="0" borderId="2" xfId="0" applyNumberFormat="1" applyFont="1" applyBorder="1"/>
    <xf numFmtId="41" fontId="22" fillId="0" borderId="2" xfId="0" applyNumberFormat="1" applyFont="1" applyBorder="1"/>
    <xf numFmtId="41" fontId="21" fillId="0" borderId="51" xfId="0" applyNumberFormat="1" applyFont="1" applyBorder="1"/>
    <xf numFmtId="41" fontId="22" fillId="0" borderId="51" xfId="0" applyNumberFormat="1" applyFont="1" applyBorder="1"/>
    <xf numFmtId="41" fontId="0" fillId="0" borderId="7" xfId="0" applyNumberFormat="1" applyBorder="1"/>
    <xf numFmtId="37" fontId="19" fillId="0" borderId="2" xfId="0" applyNumberFormat="1" applyFont="1" applyBorder="1" applyAlignment="1">
      <alignment wrapText="1"/>
    </xf>
    <xf numFmtId="41" fontId="0" fillId="0" borderId="24" xfId="0" applyNumberFormat="1" applyBorder="1" applyAlignment="1">
      <alignment horizontal="right"/>
    </xf>
    <xf numFmtId="41" fontId="19" fillId="0" borderId="24" xfId="0" applyNumberFormat="1" applyFont="1" applyBorder="1" applyAlignment="1">
      <alignment horizontal="right"/>
    </xf>
    <xf numFmtId="0" fontId="0" fillId="0" borderId="52" xfId="0" applyBorder="1" applyAlignment="1">
      <alignment horizontal="left" vertical="top" wrapText="1"/>
    </xf>
    <xf numFmtId="0" fontId="19" fillId="0" borderId="2" xfId="0" applyFont="1" applyBorder="1"/>
    <xf numFmtId="0" fontId="19" fillId="0" borderId="2" xfId="0" applyFont="1" applyBorder="1" applyAlignment="1">
      <alignment horizontal="left"/>
    </xf>
    <xf numFmtId="9" fontId="19" fillId="0" borderId="4" xfId="0" applyNumberFormat="1" applyFont="1" applyBorder="1"/>
    <xf numFmtId="41" fontId="0" fillId="0" borderId="17" xfId="0" applyNumberFormat="1" applyBorder="1" applyAlignment="1">
      <alignment horizontal="right"/>
    </xf>
    <xf numFmtId="0" fontId="17" fillId="0" borderId="0" xfId="0" applyFont="1"/>
    <xf numFmtId="41" fontId="22" fillId="0" borderId="0" xfId="0" applyNumberFormat="1" applyFont="1" applyAlignment="1">
      <alignment horizontal="right"/>
    </xf>
    <xf numFmtId="0" fontId="24" fillId="0" borderId="0" xfId="0" applyFont="1" applyAlignment="1">
      <alignment horizontal="left" vertical="top" wrapText="1"/>
    </xf>
    <xf numFmtId="164" fontId="21" fillId="0" borderId="59" xfId="4" applyNumberFormat="1" applyFont="1" applyBorder="1"/>
    <xf numFmtId="166" fontId="22" fillId="0" borderId="59" xfId="1" applyNumberFormat="1" applyFont="1" applyBorder="1"/>
    <xf numFmtId="164" fontId="21" fillId="0" borderId="59" xfId="1" applyNumberFormat="1" applyFont="1" applyBorder="1"/>
    <xf numFmtId="0" fontId="4" fillId="0" borderId="6" xfId="0" applyFont="1" applyBorder="1" applyAlignment="1">
      <alignment horizontal="center" vertical="top" wrapText="1"/>
    </xf>
    <xf numFmtId="37" fontId="21" fillId="0" borderId="2" xfId="0" applyNumberFormat="1" applyFont="1" applyBorder="1"/>
    <xf numFmtId="37" fontId="22" fillId="0" borderId="2" xfId="0" applyNumberFormat="1" applyFont="1" applyBorder="1"/>
    <xf numFmtId="37" fontId="22" fillId="0" borderId="13" xfId="0" applyNumberFormat="1" applyFont="1" applyBorder="1"/>
    <xf numFmtId="164" fontId="21" fillId="0" borderId="2" xfId="0" applyNumberFormat="1" applyFont="1" applyBorder="1"/>
    <xf numFmtId="41" fontId="22" fillId="0" borderId="13" xfId="0" applyNumberFormat="1" applyFont="1" applyBorder="1"/>
    <xf numFmtId="41" fontId="17" fillId="0" borderId="47" xfId="0" applyNumberFormat="1" applyFont="1" applyBorder="1"/>
    <xf numFmtId="41" fontId="17" fillId="0" borderId="17" xfId="0" applyNumberFormat="1" applyFont="1" applyBorder="1" applyAlignment="1">
      <alignment horizontal="right"/>
    </xf>
    <xf numFmtId="0" fontId="0" fillId="0" borderId="53" xfId="0" applyBorder="1" applyAlignment="1">
      <alignment horizontal="right" vertical="top" wrapText="1"/>
    </xf>
    <xf numFmtId="37" fontId="0" fillId="0" borderId="53" xfId="0" applyNumberFormat="1" applyBorder="1" applyAlignment="1">
      <alignment horizontal="right" vertical="top" wrapText="1"/>
    </xf>
    <xf numFmtId="37" fontId="4" fillId="0" borderId="53" xfId="0" applyNumberFormat="1" applyFont="1" applyBorder="1" applyAlignment="1">
      <alignment horizontal="right" vertical="top" wrapText="1"/>
    </xf>
    <xf numFmtId="37" fontId="4" fillId="0" borderId="61" xfId="0" applyNumberFormat="1" applyFont="1" applyBorder="1" applyAlignment="1">
      <alignment horizontal="right" vertical="top" wrapText="1"/>
    </xf>
    <xf numFmtId="3" fontId="0" fillId="0" borderId="2" xfId="0" applyNumberFormat="1" applyBorder="1" applyAlignment="1">
      <alignment horizontal="right" vertical="top" wrapText="1"/>
    </xf>
    <xf numFmtId="37" fontId="0" fillId="0" borderId="12" xfId="0" applyNumberFormat="1" applyBorder="1"/>
    <xf numFmtId="0" fontId="0" fillId="0" borderId="35" xfId="0" applyBorder="1" applyAlignment="1">
      <alignment horizontal="right" vertical="top" wrapText="1"/>
    </xf>
    <xf numFmtId="37" fontId="19" fillId="0" borderId="36" xfId="0" applyNumberFormat="1" applyFont="1" applyBorder="1" applyAlignment="1">
      <alignment wrapText="1"/>
    </xf>
    <xf numFmtId="41" fontId="19" fillId="0" borderId="36" xfId="0" applyNumberFormat="1" applyFont="1" applyBorder="1"/>
    <xf numFmtId="9" fontId="19" fillId="0" borderId="40" xfId="0" applyNumberFormat="1" applyFont="1" applyBorder="1"/>
    <xf numFmtId="0" fontId="0" fillId="0" borderId="30" xfId="0" applyBorder="1" applyAlignment="1">
      <alignment horizontal="right" vertical="top" wrapText="1"/>
    </xf>
    <xf numFmtId="37" fontId="4" fillId="0" borderId="30" xfId="0" applyNumberFormat="1" applyFont="1" applyBorder="1" applyAlignment="1">
      <alignment horizontal="right" vertical="top" wrapText="1"/>
    </xf>
    <xf numFmtId="37" fontId="0" fillId="0" borderId="57" xfId="0" applyNumberFormat="1" applyBorder="1" applyAlignment="1">
      <alignment horizontal="right" vertical="top" wrapText="1"/>
    </xf>
    <xf numFmtId="37" fontId="0" fillId="0" borderId="57" xfId="0" applyNumberFormat="1" applyBorder="1" applyAlignment="1">
      <alignment horizontal="right" wrapText="1"/>
    </xf>
    <xf numFmtId="37" fontId="4" fillId="0" borderId="30" xfId="0" applyNumberFormat="1" applyFont="1" applyBorder="1" applyAlignment="1">
      <alignment wrapText="1"/>
    </xf>
    <xf numFmtId="37" fontId="4" fillId="0" borderId="30" xfId="0" applyNumberFormat="1" applyFont="1" applyBorder="1" applyAlignment="1">
      <alignment horizontal="right" wrapText="1"/>
    </xf>
    <xf numFmtId="165" fontId="0" fillId="0" borderId="30" xfId="0" applyNumberFormat="1" applyBorder="1" applyAlignment="1">
      <alignment horizontal="right" vertical="top" wrapText="1"/>
    </xf>
    <xf numFmtId="3" fontId="0" fillId="0" borderId="30" xfId="0" applyNumberFormat="1" applyBorder="1" applyAlignment="1">
      <alignment horizontal="right" vertical="top" wrapText="1"/>
    </xf>
    <xf numFmtId="0" fontId="0" fillId="0" borderId="31" xfId="0" applyBorder="1" applyAlignment="1">
      <alignment horizontal="right" vertical="top" wrapText="1"/>
    </xf>
    <xf numFmtId="37" fontId="0" fillId="0" borderId="30" xfId="0" applyNumberFormat="1" applyBorder="1" applyAlignment="1">
      <alignment horizontal="right" wrapText="1"/>
    </xf>
    <xf numFmtId="37" fontId="4" fillId="0" borderId="31" xfId="0" applyNumberFormat="1" applyFont="1" applyBorder="1" applyAlignment="1">
      <alignment horizontal="right" vertical="top" wrapText="1"/>
    </xf>
    <xf numFmtId="0" fontId="0" fillId="0" borderId="62" xfId="0" applyBorder="1" applyAlignment="1">
      <alignment horizontal="right" vertical="top" wrapText="1"/>
    </xf>
    <xf numFmtId="44" fontId="0" fillId="0" borderId="30" xfId="0" applyNumberFormat="1" applyBorder="1" applyAlignment="1">
      <alignment horizontal="right"/>
    </xf>
    <xf numFmtId="44" fontId="4" fillId="0" borderId="30" xfId="0" applyNumberFormat="1" applyFont="1" applyBorder="1" applyAlignment="1">
      <alignment horizontal="right"/>
    </xf>
    <xf numFmtId="41" fontId="0" fillId="0" borderId="17" xfId="0" applyNumberFormat="1" applyBorder="1" applyAlignment="1">
      <alignment horizontal="right" wrapText="1"/>
    </xf>
    <xf numFmtId="0" fontId="0" fillId="0" borderId="28" xfId="0" applyBorder="1" applyAlignment="1">
      <alignment horizontal="right" vertical="top" wrapText="1"/>
    </xf>
    <xf numFmtId="0" fontId="0" fillId="0" borderId="55" xfId="0" applyBorder="1" applyAlignment="1">
      <alignment horizontal="right" vertical="top" wrapText="1"/>
    </xf>
    <xf numFmtId="0" fontId="0" fillId="0" borderId="38" xfId="0" applyBorder="1" applyAlignment="1">
      <alignment horizontal="right" vertical="top" wrapText="1"/>
    </xf>
    <xf numFmtId="37" fontId="4" fillId="0" borderId="38" xfId="0" applyNumberFormat="1" applyFont="1" applyBorder="1" applyAlignment="1">
      <alignment horizontal="right" vertical="top" wrapText="1"/>
    </xf>
    <xf numFmtId="37" fontId="0" fillId="0" borderId="38" xfId="0" applyNumberFormat="1" applyBorder="1" applyAlignment="1">
      <alignment horizontal="right" vertical="top" wrapText="1"/>
    </xf>
    <xf numFmtId="37" fontId="0" fillId="0" borderId="38" xfId="0" applyNumberFormat="1" applyBorder="1" applyAlignment="1">
      <alignment wrapText="1"/>
    </xf>
    <xf numFmtId="37" fontId="19" fillId="0" borderId="38" xfId="0" applyNumberFormat="1" applyFont="1" applyBorder="1" applyAlignment="1">
      <alignment wrapText="1"/>
    </xf>
    <xf numFmtId="37" fontId="0" fillId="0" borderId="38" xfId="0" applyNumberFormat="1" applyBorder="1" applyAlignment="1">
      <alignment horizontal="right" wrapText="1"/>
    </xf>
    <xf numFmtId="37" fontId="4" fillId="0" borderId="38" xfId="0" applyNumberFormat="1" applyFont="1" applyBorder="1" applyAlignment="1">
      <alignment horizontal="right" wrapText="1"/>
    </xf>
    <xf numFmtId="37" fontId="0" fillId="0" borderId="41" xfId="0" applyNumberFormat="1" applyBorder="1" applyAlignment="1">
      <alignment horizontal="right" vertical="top" wrapText="1"/>
    </xf>
    <xf numFmtId="37" fontId="4" fillId="0" borderId="54" xfId="0" applyNumberFormat="1" applyFont="1" applyBorder="1"/>
    <xf numFmtId="41" fontId="4" fillId="0" borderId="38" xfId="0" applyNumberFormat="1" applyFont="1" applyBorder="1" applyAlignment="1">
      <alignment horizontal="right" vertical="top" wrapText="1"/>
    </xf>
    <xf numFmtId="41" fontId="0" fillId="0" borderId="38" xfId="0" applyNumberFormat="1" applyBorder="1" applyAlignment="1">
      <alignment horizontal="right" vertical="top" wrapText="1"/>
    </xf>
    <xf numFmtId="41" fontId="4" fillId="0" borderId="41" xfId="0" applyNumberFormat="1" applyFont="1" applyBorder="1" applyAlignment="1">
      <alignment horizontal="right" vertical="top" wrapText="1"/>
    </xf>
    <xf numFmtId="41" fontId="19" fillId="0" borderId="38" xfId="0" applyNumberFormat="1" applyFont="1" applyBorder="1"/>
    <xf numFmtId="9" fontId="19" fillId="0" borderId="41" xfId="0" applyNumberFormat="1" applyFont="1" applyBorder="1"/>
    <xf numFmtId="0" fontId="22" fillId="0" borderId="0" xfId="0" applyFont="1" applyAlignment="1">
      <alignment horizontal="left"/>
    </xf>
    <xf numFmtId="0" fontId="4" fillId="0" borderId="0" xfId="0" applyFont="1" applyAlignment="1">
      <alignment horizontal="center" vertical="top" wrapText="1"/>
    </xf>
    <xf numFmtId="41" fontId="0" fillId="0" borderId="25" xfId="0" applyNumberFormat="1" applyBorder="1" applyAlignment="1">
      <alignment horizontal="right" vertical="top" wrapText="1"/>
    </xf>
    <xf numFmtId="41" fontId="0" fillId="0" borderId="24" xfId="0" applyNumberFormat="1" applyBorder="1" applyAlignment="1">
      <alignment horizontal="right" vertical="top" wrapText="1"/>
    </xf>
    <xf numFmtId="41" fontId="0" fillId="0" borderId="25" xfId="0" applyNumberFormat="1" applyBorder="1" applyAlignment="1">
      <alignment horizontal="right" wrapText="1"/>
    </xf>
    <xf numFmtId="43" fontId="0" fillId="0" borderId="25" xfId="0" applyNumberFormat="1" applyBorder="1" applyAlignment="1">
      <alignment horizontal="right" wrapText="1"/>
    </xf>
    <xf numFmtId="43" fontId="0" fillId="0" borderId="38" xfId="0" applyNumberFormat="1" applyBorder="1" applyAlignment="1">
      <alignment horizontal="right"/>
    </xf>
    <xf numFmtId="41" fontId="0" fillId="0" borderId="38" xfId="0" applyNumberFormat="1" applyBorder="1" applyAlignment="1">
      <alignment horizontal="right" wrapText="1"/>
    </xf>
    <xf numFmtId="41" fontId="5" fillId="0" borderId="38" xfId="0" applyNumberFormat="1" applyFont="1" applyBorder="1" applyAlignment="1">
      <alignment horizontal="right" vertical="top" wrapText="1"/>
    </xf>
    <xf numFmtId="41" fontId="0" fillId="0" borderId="57" xfId="0" applyNumberFormat="1" applyBorder="1" applyAlignment="1">
      <alignment horizontal="right" wrapText="1"/>
    </xf>
    <xf numFmtId="43" fontId="0" fillId="0" borderId="57" xfId="0" applyNumberFormat="1" applyBorder="1" applyAlignment="1">
      <alignment horizontal="right" wrapText="1"/>
    </xf>
    <xf numFmtId="41" fontId="0" fillId="0" borderId="42" xfId="0" applyNumberFormat="1" applyBorder="1"/>
    <xf numFmtId="0" fontId="22" fillId="0" borderId="0" xfId="0" applyFont="1" applyAlignment="1">
      <alignment horizontal="left" wrapText="1" indent="2"/>
    </xf>
    <xf numFmtId="41" fontId="23" fillId="0" borderId="0" xfId="0" applyNumberFormat="1" applyFont="1"/>
    <xf numFmtId="0" fontId="12" fillId="0" borderId="0" xfId="0" applyFont="1" applyAlignment="1">
      <alignment vertical="center"/>
    </xf>
    <xf numFmtId="41" fontId="0" fillId="0" borderId="30" xfId="0" applyNumberFormat="1" applyBorder="1" applyAlignment="1">
      <alignment horizontal="right" vertical="top" wrapText="1"/>
    </xf>
    <xf numFmtId="41" fontId="22" fillId="0" borderId="14" xfId="0" applyNumberFormat="1" applyFont="1" applyBorder="1" applyAlignment="1">
      <alignment horizontal="right"/>
    </xf>
    <xf numFmtId="41" fontId="22" fillId="0" borderId="33" xfId="0" applyNumberFormat="1" applyFont="1" applyBorder="1"/>
    <xf numFmtId="0" fontId="22" fillId="0" borderId="0" xfId="0" applyFont="1" applyAlignment="1">
      <alignment horizontal="left" vertical="top"/>
    </xf>
    <xf numFmtId="37" fontId="0" fillId="0" borderId="10" xfId="0" applyNumberFormat="1" applyBorder="1" applyAlignment="1">
      <alignment horizontal="right" wrapText="1"/>
    </xf>
    <xf numFmtId="37" fontId="4" fillId="0" borderId="11" xfId="0" applyNumberFormat="1" applyFont="1" applyBorder="1" applyAlignment="1">
      <alignment horizontal="right" vertical="top" wrapText="1"/>
    </xf>
    <xf numFmtId="0" fontId="10" fillId="0" borderId="1" xfId="0" applyFont="1" applyBorder="1" applyAlignment="1">
      <alignment horizontal="left" wrapText="1"/>
    </xf>
    <xf numFmtId="0" fontId="17" fillId="0" borderId="1" xfId="0" applyFont="1" applyBorder="1" applyAlignment="1">
      <alignment horizontal="left" wrapText="1"/>
    </xf>
    <xf numFmtId="41" fontId="22" fillId="0" borderId="0" xfId="0" quotePrefix="1" applyNumberFormat="1" applyFont="1" applyAlignment="1">
      <alignment horizontal="right"/>
    </xf>
    <xf numFmtId="0" fontId="26" fillId="0" borderId="0" xfId="0" applyFont="1" applyAlignment="1">
      <alignment vertical="center"/>
    </xf>
    <xf numFmtId="0" fontId="10" fillId="0" borderId="0" xfId="0" applyFont="1" applyAlignment="1">
      <alignment horizontal="left" vertical="top"/>
    </xf>
    <xf numFmtId="41" fontId="0" fillId="0" borderId="10" xfId="0" applyNumberFormat="1" applyBorder="1" applyAlignment="1">
      <alignment horizontal="right" wrapText="1"/>
    </xf>
    <xf numFmtId="0" fontId="10" fillId="0" borderId="0" xfId="0" applyFont="1" applyAlignment="1">
      <alignment vertical="distributed" wrapText="1"/>
    </xf>
    <xf numFmtId="41" fontId="22" fillId="0" borderId="59" xfId="0" applyNumberFormat="1" applyFont="1" applyBorder="1" applyAlignment="1">
      <alignment horizontal="right"/>
    </xf>
    <xf numFmtId="41" fontId="21" fillId="0" borderId="58" xfId="0" applyNumberFormat="1" applyFont="1" applyBorder="1"/>
    <xf numFmtId="41" fontId="22" fillId="0" borderId="38" xfId="4" applyNumberFormat="1" applyFont="1" applyFill="1" applyBorder="1"/>
    <xf numFmtId="41" fontId="22" fillId="0" borderId="0" xfId="4" applyNumberFormat="1" applyFont="1" applyFill="1" applyBorder="1"/>
    <xf numFmtId="41" fontId="0" fillId="0" borderId="42" xfId="0" applyNumberFormat="1" applyBorder="1" applyAlignment="1">
      <alignment horizontal="right" vertical="top" wrapText="1"/>
    </xf>
    <xf numFmtId="41" fontId="4" fillId="0" borderId="42" xfId="0" applyNumberFormat="1" applyFont="1" applyBorder="1" applyAlignment="1">
      <alignment horizontal="right" vertical="top" wrapText="1"/>
    </xf>
    <xf numFmtId="41" fontId="4" fillId="0" borderId="50" xfId="0" applyNumberFormat="1" applyFont="1" applyBorder="1" applyAlignment="1">
      <alignment horizontal="right" vertical="top" wrapText="1"/>
    </xf>
    <xf numFmtId="41" fontId="17" fillId="0" borderId="0" xfId="0" applyNumberFormat="1" applyFont="1"/>
    <xf numFmtId="41" fontId="0" fillId="0" borderId="15" xfId="0" applyNumberFormat="1" applyBorder="1" applyAlignment="1">
      <alignment horizontal="right" vertical="top" wrapText="1"/>
    </xf>
    <xf numFmtId="41" fontId="0" fillId="0" borderId="15" xfId="0" applyNumberFormat="1" applyBorder="1" applyAlignment="1">
      <alignment horizontal="right" wrapText="1"/>
    </xf>
    <xf numFmtId="41" fontId="0" fillId="0" borderId="30" xfId="0" applyNumberFormat="1" applyBorder="1" applyAlignment="1">
      <alignment horizontal="right" wrapText="1"/>
    </xf>
    <xf numFmtId="37" fontId="22" fillId="0" borderId="25" xfId="0" applyNumberFormat="1" applyFont="1" applyBorder="1" applyAlignment="1">
      <alignment horizontal="right" wrapText="1"/>
    </xf>
    <xf numFmtId="37" fontId="22" fillId="0" borderId="57" xfId="0" applyNumberFormat="1" applyFont="1" applyBorder="1" applyAlignment="1">
      <alignment horizontal="right" wrapText="1"/>
    </xf>
    <xf numFmtId="37" fontId="22" fillId="0" borderId="15" xfId="0" applyNumberFormat="1" applyFont="1" applyBorder="1" applyAlignment="1">
      <alignment horizontal="right" wrapText="1"/>
    </xf>
    <xf numFmtId="0" fontId="27" fillId="0" borderId="0" xfId="0" applyFont="1"/>
    <xf numFmtId="37" fontId="22" fillId="0" borderId="0" xfId="0" applyNumberFormat="1" applyFont="1"/>
    <xf numFmtId="41" fontId="21" fillId="0" borderId="0" xfId="0" applyNumberFormat="1" applyFont="1"/>
    <xf numFmtId="41" fontId="22" fillId="0" borderId="44" xfId="0" applyNumberFormat="1" applyFont="1" applyBorder="1" applyAlignment="1">
      <alignment horizontal="right"/>
    </xf>
    <xf numFmtId="41" fontId="22" fillId="0" borderId="58" xfId="0" applyNumberFormat="1" applyFont="1" applyBorder="1"/>
    <xf numFmtId="37" fontId="22" fillId="0" borderId="60" xfId="0" applyNumberFormat="1" applyFont="1" applyBorder="1"/>
    <xf numFmtId="43" fontId="21" fillId="0" borderId="36" xfId="0" applyNumberFormat="1" applyFont="1" applyBorder="1"/>
    <xf numFmtId="43" fontId="21" fillId="0" borderId="38" xfId="0" applyNumberFormat="1" applyFont="1" applyBorder="1"/>
    <xf numFmtId="43" fontId="21" fillId="0" borderId="47" xfId="0" applyNumberFormat="1" applyFont="1" applyBorder="1"/>
    <xf numFmtId="39" fontId="21" fillId="0" borderId="2" xfId="0" applyNumberFormat="1" applyFont="1" applyBorder="1"/>
    <xf numFmtId="41" fontId="5" fillId="0" borderId="17" xfId="0" applyNumberFormat="1" applyFont="1" applyBorder="1" applyAlignment="1">
      <alignment horizontal="right" vertical="top" wrapText="1"/>
    </xf>
    <xf numFmtId="41" fontId="19" fillId="0" borderId="17" xfId="0" applyNumberFormat="1" applyFont="1" applyBorder="1"/>
    <xf numFmtId="9" fontId="19" fillId="0" borderId="20" xfId="0" applyNumberFormat="1" applyFont="1" applyBorder="1"/>
    <xf numFmtId="41" fontId="19" fillId="0" borderId="0" xfId="0" applyNumberFormat="1" applyFont="1"/>
    <xf numFmtId="41" fontId="19" fillId="0" borderId="2" xfId="0" applyNumberFormat="1" applyFont="1" applyBorder="1"/>
    <xf numFmtId="37" fontId="0" fillId="0" borderId="62" xfId="0" applyNumberFormat="1" applyBorder="1"/>
    <xf numFmtId="37" fontId="0" fillId="0" borderId="30" xfId="0" applyNumberFormat="1" applyBorder="1"/>
    <xf numFmtId="37" fontId="4" fillId="0" borderId="21" xfId="0" applyNumberFormat="1" applyFont="1" applyBorder="1"/>
    <xf numFmtId="37" fontId="0" fillId="0" borderId="30" xfId="0" applyNumberFormat="1" applyBorder="1" applyAlignment="1">
      <alignment wrapText="1"/>
    </xf>
    <xf numFmtId="37" fontId="19" fillId="0" borderId="30" xfId="0" applyNumberFormat="1" applyFont="1" applyBorder="1" applyAlignment="1">
      <alignment wrapText="1"/>
    </xf>
    <xf numFmtId="37" fontId="0" fillId="0" borderId="30" xfId="0" applyNumberFormat="1" applyBorder="1" applyAlignment="1">
      <alignment horizontal="right"/>
    </xf>
    <xf numFmtId="37" fontId="5" fillId="0" borderId="30" xfId="0" applyNumberFormat="1" applyFont="1" applyBorder="1" applyAlignment="1">
      <alignment horizontal="right" vertical="top" wrapText="1"/>
    </xf>
    <xf numFmtId="37" fontId="0" fillId="0" borderId="31" xfId="0" applyNumberFormat="1" applyBorder="1" applyAlignment="1">
      <alignment horizontal="right" vertical="top" wrapText="1"/>
    </xf>
    <xf numFmtId="41" fontId="0" fillId="0" borderId="7" xfId="0" applyNumberFormat="1" applyBorder="1" applyAlignment="1">
      <alignment horizontal="right" wrapText="1"/>
    </xf>
    <xf numFmtId="3" fontId="22" fillId="0" borderId="0" xfId="0" applyNumberFormat="1" applyFont="1"/>
    <xf numFmtId="0" fontId="21" fillId="0" borderId="0" xfId="0" applyFont="1"/>
    <xf numFmtId="37" fontId="0" fillId="0" borderId="55" xfId="0" applyNumberFormat="1" applyBorder="1" applyAlignment="1">
      <alignment horizontal="right"/>
    </xf>
    <xf numFmtId="41" fontId="27" fillId="0" borderId="0" xfId="0" applyNumberFormat="1" applyFont="1"/>
    <xf numFmtId="41" fontId="27" fillId="0" borderId="58" xfId="0" applyNumberFormat="1" applyFont="1" applyBorder="1"/>
    <xf numFmtId="41" fontId="27" fillId="0" borderId="58" xfId="0" applyNumberFormat="1" applyFont="1" applyBorder="1" applyAlignment="1">
      <alignment horizontal="right"/>
    </xf>
    <xf numFmtId="41" fontId="17" fillId="0" borderId="0" xfId="4" applyNumberFormat="1" applyFont="1" applyFill="1" applyBorder="1"/>
    <xf numFmtId="41" fontId="27" fillId="0" borderId="0" xfId="0" applyNumberFormat="1" applyFont="1" applyAlignment="1">
      <alignment horizontal="right"/>
    </xf>
    <xf numFmtId="41" fontId="17" fillId="0" borderId="0" xfId="0" applyNumberFormat="1" applyFont="1" applyAlignment="1">
      <alignment horizontal="right"/>
    </xf>
    <xf numFmtId="4" fontId="0" fillId="0" borderId="7" xfId="0" applyNumberFormat="1" applyBorder="1" applyAlignment="1">
      <alignment horizontal="right" vertical="top" wrapText="1"/>
    </xf>
    <xf numFmtId="0" fontId="0" fillId="0" borderId="1" xfId="0" applyBorder="1" applyAlignment="1">
      <alignment horizontal="left" wrapText="1"/>
    </xf>
    <xf numFmtId="0" fontId="3" fillId="0" borderId="1" xfId="0" applyFont="1" applyBorder="1" applyAlignment="1">
      <alignment horizontal="left" wrapText="1"/>
    </xf>
    <xf numFmtId="37" fontId="0" fillId="0" borderId="19" xfId="0" applyNumberFormat="1" applyBorder="1"/>
    <xf numFmtId="37" fontId="0" fillId="0" borderId="38" xfId="0" applyNumberFormat="1" applyBorder="1" applyAlignment="1">
      <alignment horizontal="right"/>
    </xf>
    <xf numFmtId="0" fontId="0" fillId="0" borderId="1" xfId="0" applyBorder="1" applyAlignment="1">
      <alignment horizontal="left" vertical="top"/>
    </xf>
    <xf numFmtId="4" fontId="0" fillId="0" borderId="17" xfId="0" applyNumberFormat="1" applyBorder="1" applyAlignment="1">
      <alignment horizontal="right" vertical="top" wrapText="1"/>
    </xf>
    <xf numFmtId="4" fontId="0" fillId="0" borderId="2" xfId="0" applyNumberFormat="1" applyBorder="1" applyAlignment="1">
      <alignment horizontal="right" vertical="top" wrapText="1"/>
    </xf>
    <xf numFmtId="0" fontId="25" fillId="0" borderId="0" xfId="0" applyFont="1"/>
    <xf numFmtId="41" fontId="4" fillId="0" borderId="17" xfId="0" applyNumberFormat="1" applyFont="1" applyBorder="1"/>
    <xf numFmtId="41" fontId="0" fillId="0" borderId="17" xfId="0" applyNumberFormat="1" applyBorder="1" applyAlignment="1">
      <alignment wrapText="1"/>
    </xf>
    <xf numFmtId="41" fontId="19" fillId="0" borderId="17" xfId="0" applyNumberFormat="1" applyFont="1" applyBorder="1" applyAlignment="1">
      <alignment wrapText="1"/>
    </xf>
    <xf numFmtId="41" fontId="4" fillId="0" borderId="17" xfId="0" applyNumberFormat="1" applyFont="1" applyBorder="1" applyAlignment="1">
      <alignment horizontal="right" wrapText="1"/>
    </xf>
    <xf numFmtId="41" fontId="4" fillId="0" borderId="17" xfId="0" applyNumberFormat="1" applyFont="1" applyBorder="1" applyAlignment="1">
      <alignment horizontal="right"/>
    </xf>
    <xf numFmtId="41" fontId="0" fillId="0" borderId="20" xfId="0" applyNumberFormat="1" applyBorder="1" applyAlignment="1">
      <alignment horizontal="right" vertical="top" wrapText="1"/>
    </xf>
    <xf numFmtId="41" fontId="0" fillId="0" borderId="30" xfId="0" applyNumberFormat="1" applyBorder="1"/>
    <xf numFmtId="41" fontId="0" fillId="0" borderId="38" xfId="0" applyNumberFormat="1" applyBorder="1" applyAlignment="1">
      <alignment horizontal="right"/>
    </xf>
    <xf numFmtId="41" fontId="21" fillId="0" borderId="60" xfId="0" applyNumberFormat="1" applyFont="1" applyBorder="1"/>
    <xf numFmtId="0" fontId="17" fillId="0" borderId="2" xfId="0" applyFont="1" applyBorder="1" applyAlignment="1">
      <alignment horizontal="left" vertical="top" wrapText="1"/>
    </xf>
    <xf numFmtId="166" fontId="22" fillId="0" borderId="0" xfId="0" applyNumberFormat="1" applyFont="1"/>
    <xf numFmtId="164" fontId="21" fillId="0" borderId="59" xfId="4" applyNumberFormat="1" applyFont="1" applyFill="1" applyBorder="1"/>
    <xf numFmtId="166" fontId="22" fillId="0" borderId="59" xfId="1" applyNumberFormat="1" applyFont="1" applyFill="1" applyBorder="1"/>
    <xf numFmtId="166" fontId="22" fillId="0" borderId="59" xfId="0" applyNumberFormat="1" applyFont="1" applyBorder="1"/>
    <xf numFmtId="164" fontId="21" fillId="0" borderId="59" xfId="1" applyNumberFormat="1" applyFont="1" applyFill="1" applyBorder="1"/>
    <xf numFmtId="166" fontId="21" fillId="0" borderId="0" xfId="4" applyNumberFormat="1" applyFont="1" applyFill="1" applyBorder="1"/>
    <xf numFmtId="43" fontId="21" fillId="0" borderId="59" xfId="0" applyNumberFormat="1" applyFont="1" applyBorder="1"/>
    <xf numFmtId="0" fontId="0" fillId="0" borderId="56" xfId="0" applyBorder="1" applyAlignment="1">
      <alignment horizontal="right" vertical="top" wrapText="1"/>
    </xf>
    <xf numFmtId="37" fontId="19" fillId="0" borderId="42" xfId="0" applyNumberFormat="1" applyFont="1" applyBorder="1" applyAlignment="1">
      <alignment wrapText="1"/>
    </xf>
    <xf numFmtId="41" fontId="19" fillId="0" borderId="42" xfId="0" applyNumberFormat="1" applyFont="1" applyBorder="1"/>
    <xf numFmtId="9" fontId="19" fillId="0" borderId="50" xfId="0" applyNumberFormat="1" applyFont="1" applyBorder="1"/>
    <xf numFmtId="167" fontId="0" fillId="0" borderId="7" xfId="0" applyNumberFormat="1" applyBorder="1" applyAlignment="1">
      <alignment horizontal="right" vertical="top" wrapText="1"/>
    </xf>
    <xf numFmtId="167" fontId="0" fillId="0" borderId="17" xfId="0" applyNumberFormat="1" applyBorder="1" applyAlignment="1">
      <alignment horizontal="right" vertical="top" wrapText="1"/>
    </xf>
    <xf numFmtId="41" fontId="0" fillId="0" borderId="16" xfId="0" applyNumberFormat="1" applyBorder="1" applyAlignment="1">
      <alignment horizontal="right" wrapText="1"/>
    </xf>
    <xf numFmtId="0" fontId="0" fillId="0" borderId="0" xfId="0" applyAlignment="1">
      <alignment horizontal="right"/>
    </xf>
    <xf numFmtId="41" fontId="22" fillId="0" borderId="38" xfId="9" applyNumberFormat="1" applyFont="1" applyFill="1" applyBorder="1"/>
    <xf numFmtId="41" fontId="17" fillId="0" borderId="0" xfId="9" applyNumberFormat="1" applyFont="1" applyFill="1" applyBorder="1"/>
    <xf numFmtId="43" fontId="0" fillId="0" borderId="18" xfId="1" applyNumberFormat="1" applyFont="1" applyBorder="1" applyAlignment="1">
      <alignment horizontal="right" wrapText="1"/>
    </xf>
    <xf numFmtId="43" fontId="0" fillId="0" borderId="10" xfId="1" applyNumberFormat="1" applyFont="1" applyBorder="1" applyAlignment="1">
      <alignment horizontal="right" vertical="top" wrapText="1"/>
    </xf>
    <xf numFmtId="43" fontId="0" fillId="0" borderId="10" xfId="1" applyNumberFormat="1" applyFont="1" applyBorder="1" applyAlignment="1">
      <alignment horizontal="right" wrapText="1"/>
    </xf>
    <xf numFmtId="41" fontId="0" fillId="0" borderId="0" xfId="1" applyNumberFormat="1" applyFont="1" applyFill="1"/>
    <xf numFmtId="41" fontId="0" fillId="0" borderId="0" xfId="1" applyNumberFormat="1" applyFont="1" applyAlignment="1">
      <alignment wrapText="1"/>
    </xf>
    <xf numFmtId="0" fontId="5" fillId="0" borderId="0" xfId="0" applyFont="1"/>
    <xf numFmtId="37" fontId="17" fillId="0" borderId="0" xfId="0" applyNumberFormat="1" applyFont="1"/>
    <xf numFmtId="43" fontId="0" fillId="0" borderId="0" xfId="0" applyNumberFormat="1"/>
    <xf numFmtId="168" fontId="0" fillId="0" borderId="7" xfId="0" applyNumberFormat="1" applyBorder="1" applyAlignment="1">
      <alignment horizontal="right" vertical="top" wrapText="1"/>
    </xf>
    <xf numFmtId="41" fontId="3" fillId="0" borderId="2" xfId="0" applyNumberFormat="1" applyFont="1" applyBorder="1" applyAlignment="1">
      <alignment horizontal="right" vertical="top" wrapText="1"/>
    </xf>
    <xf numFmtId="41" fontId="0" fillId="0" borderId="13" xfId="0" applyNumberFormat="1" applyBorder="1" applyAlignment="1">
      <alignment horizontal="right" vertical="top" wrapText="1"/>
    </xf>
    <xf numFmtId="169" fontId="0" fillId="0" borderId="0" xfId="0" applyNumberFormat="1"/>
    <xf numFmtId="41" fontId="0" fillId="0" borderId="18" xfId="0" applyNumberFormat="1" applyBorder="1" applyAlignment="1">
      <alignment horizontal="right" vertical="top" wrapText="1"/>
    </xf>
    <xf numFmtId="168" fontId="0" fillId="0" borderId="17" xfId="0" applyNumberFormat="1" applyBorder="1" applyAlignment="1">
      <alignment horizontal="right" vertical="top" wrapText="1"/>
    </xf>
    <xf numFmtId="9" fontId="19" fillId="0" borderId="0" xfId="0" applyNumberFormat="1" applyFont="1"/>
    <xf numFmtId="0" fontId="19" fillId="0" borderId="13" xfId="0" applyFont="1" applyBorder="1" applyAlignment="1">
      <alignment horizontal="left"/>
    </xf>
    <xf numFmtId="9" fontId="19" fillId="0" borderId="46" xfId="0" applyNumberFormat="1" applyFont="1" applyBorder="1"/>
    <xf numFmtId="9" fontId="19" fillId="0" borderId="44" xfId="0" applyNumberFormat="1" applyFont="1" applyBorder="1"/>
    <xf numFmtId="9" fontId="19" fillId="0" borderId="18" xfId="0" applyNumberFormat="1" applyFont="1" applyBorder="1"/>
    <xf numFmtId="9" fontId="19" fillId="0" borderId="45" xfId="0" applyNumberFormat="1" applyFont="1" applyBorder="1"/>
    <xf numFmtId="0" fontId="0" fillId="0" borderId="14" xfId="0" applyBorder="1"/>
    <xf numFmtId="9" fontId="19" fillId="0" borderId="38" xfId="0" applyNumberFormat="1" applyFont="1" applyBorder="1"/>
    <xf numFmtId="9" fontId="19" fillId="0" borderId="36" xfId="0" applyNumberFormat="1" applyFont="1" applyBorder="1"/>
    <xf numFmtId="9" fontId="19" fillId="0" borderId="17" xfId="0" applyNumberFormat="1" applyFont="1" applyBorder="1"/>
    <xf numFmtId="9" fontId="19" fillId="0" borderId="42" xfId="0" applyNumberFormat="1" applyFont="1" applyBorder="1"/>
    <xf numFmtId="0" fontId="19" fillId="0" borderId="4" xfId="0" applyFont="1" applyBorder="1" applyAlignment="1">
      <alignment horizontal="left" wrapText="1"/>
    </xf>
    <xf numFmtId="0" fontId="3" fillId="0" borderId="3" xfId="0" applyFont="1" applyBorder="1" applyAlignment="1">
      <alignment horizontal="left" wrapText="1"/>
    </xf>
    <xf numFmtId="37" fontId="0" fillId="0" borderId="31" xfId="0" applyNumberFormat="1" applyBorder="1"/>
    <xf numFmtId="0" fontId="4" fillId="0" borderId="3" xfId="0" applyFont="1" applyBorder="1" applyAlignment="1">
      <alignment horizontal="left" wrapText="1" indent="1"/>
    </xf>
    <xf numFmtId="167" fontId="0" fillId="0" borderId="2" xfId="0" applyNumberFormat="1" applyBorder="1" applyAlignment="1">
      <alignment horizontal="right" vertical="top" wrapText="1"/>
    </xf>
    <xf numFmtId="37" fontId="5" fillId="0" borderId="30" xfId="0" applyNumberFormat="1" applyFont="1" applyBorder="1"/>
    <xf numFmtId="37" fontId="5" fillId="0" borderId="17" xfId="0" applyNumberFormat="1" applyFont="1" applyBorder="1"/>
    <xf numFmtId="37" fontId="5" fillId="0" borderId="31" xfId="0" applyNumberFormat="1" applyFont="1" applyBorder="1"/>
    <xf numFmtId="37" fontId="5" fillId="0" borderId="20" xfId="0" applyNumberFormat="1" applyFont="1" applyBorder="1"/>
    <xf numFmtId="37" fontId="0" fillId="0" borderId="73" xfId="0" applyNumberFormat="1" applyBorder="1" applyAlignment="1">
      <alignment horizontal="right"/>
    </xf>
    <xf numFmtId="37" fontId="0" fillId="0" borderId="74" xfId="0" applyNumberFormat="1" applyBorder="1"/>
    <xf numFmtId="37" fontId="0" fillId="0" borderId="75" xfId="0" applyNumberFormat="1" applyBorder="1"/>
    <xf numFmtId="37" fontId="0" fillId="0" borderId="76" xfId="0" applyNumberFormat="1" applyBorder="1"/>
    <xf numFmtId="0" fontId="28" fillId="0" borderId="0" xfId="0" applyFont="1"/>
    <xf numFmtId="0" fontId="3" fillId="0" borderId="0" xfId="0" applyFont="1" applyAlignment="1">
      <alignment horizontal="left" wrapText="1"/>
    </xf>
    <xf numFmtId="37" fontId="5" fillId="0" borderId="38" xfId="0" applyNumberFormat="1" applyFont="1" applyBorder="1" applyAlignment="1">
      <alignment horizontal="right"/>
    </xf>
    <xf numFmtId="37" fontId="5" fillId="0" borderId="7" xfId="0" applyNumberFormat="1" applyFont="1" applyBorder="1"/>
    <xf numFmtId="37" fontId="5" fillId="0" borderId="42" xfId="0" applyNumberFormat="1" applyFont="1" applyBorder="1" applyAlignment="1">
      <alignment horizontal="right"/>
    </xf>
    <xf numFmtId="37" fontId="5" fillId="0" borderId="41" xfId="0" applyNumberFormat="1" applyFont="1" applyBorder="1" applyAlignment="1">
      <alignment horizontal="right"/>
    </xf>
    <xf numFmtId="37" fontId="5" fillId="0" borderId="8" xfId="0" applyNumberFormat="1" applyFont="1" applyBorder="1"/>
    <xf numFmtId="37" fontId="5" fillId="0" borderId="50" xfId="0" applyNumberFormat="1" applyFont="1" applyBorder="1"/>
    <xf numFmtId="37" fontId="5" fillId="0" borderId="0" xfId="0" applyNumberFormat="1" applyFont="1" applyAlignment="1">
      <alignment horizontal="right"/>
    </xf>
    <xf numFmtId="37" fontId="5" fillId="0" borderId="0" xfId="0" applyNumberFormat="1" applyFont="1"/>
    <xf numFmtId="37" fontId="3" fillId="0" borderId="50" xfId="0" applyNumberFormat="1" applyFont="1" applyBorder="1"/>
    <xf numFmtId="0" fontId="22" fillId="0" borderId="0" xfId="0" applyFont="1" applyAlignment="1">
      <alignment horizontal="left" vertical="center" wrapText="1" indent="1"/>
    </xf>
    <xf numFmtId="0" fontId="29" fillId="0" borderId="66" xfId="0" applyFont="1" applyBorder="1" applyAlignment="1">
      <alignment horizontal="center" vertical="center" wrapText="1"/>
    </xf>
    <xf numFmtId="0" fontId="29" fillId="0" borderId="67" xfId="0" applyFont="1" applyBorder="1" applyAlignment="1">
      <alignment horizontal="center" vertical="center" wrapText="1"/>
    </xf>
    <xf numFmtId="0" fontId="29" fillId="0" borderId="68" xfId="0" applyFont="1" applyBorder="1" applyAlignment="1">
      <alignment horizontal="center" vertical="center" wrapText="1"/>
    </xf>
    <xf numFmtId="0" fontId="30" fillId="2" borderId="63" xfId="0" applyFont="1" applyFill="1" applyBorder="1" applyAlignment="1">
      <alignment horizontal="left" vertical="center" wrapText="1"/>
    </xf>
    <xf numFmtId="0" fontId="30" fillId="2" borderId="64" xfId="0" applyFont="1" applyFill="1" applyBorder="1" applyAlignment="1">
      <alignment horizontal="left" vertical="center" wrapText="1"/>
    </xf>
    <xf numFmtId="0" fontId="30" fillId="2" borderId="65" xfId="0" applyFont="1" applyFill="1" applyBorder="1" applyAlignment="1">
      <alignment horizontal="left" vertical="center" wrapText="1"/>
    </xf>
    <xf numFmtId="0" fontId="30" fillId="0" borderId="63" xfId="0" applyFont="1" applyBorder="1" applyAlignment="1">
      <alignment horizontal="left" vertical="center" wrapText="1"/>
    </xf>
    <xf numFmtId="0" fontId="30" fillId="0" borderId="64" xfId="0" applyFont="1" applyBorder="1" applyAlignment="1">
      <alignment horizontal="left" vertical="center" wrapText="1"/>
    </xf>
    <xf numFmtId="0" fontId="30" fillId="0" borderId="65" xfId="0" applyFont="1" applyBorder="1" applyAlignment="1">
      <alignment horizontal="left" vertical="center" wrapText="1"/>
    </xf>
    <xf numFmtId="0" fontId="12" fillId="2" borderId="63" xfId="0" applyFont="1" applyFill="1" applyBorder="1" applyAlignment="1">
      <alignment horizontal="left" vertical="center" wrapText="1"/>
    </xf>
    <xf numFmtId="0" fontId="30" fillId="3" borderId="63" xfId="0" applyFont="1" applyFill="1" applyBorder="1" applyAlignment="1">
      <alignment horizontal="left" vertical="center" wrapText="1"/>
    </xf>
    <xf numFmtId="0" fontId="30" fillId="3" borderId="64" xfId="0" applyFont="1" applyFill="1" applyBorder="1" applyAlignment="1">
      <alignment horizontal="left" vertical="center" wrapText="1"/>
    </xf>
    <xf numFmtId="0" fontId="12" fillId="3" borderId="64" xfId="0" applyFont="1" applyFill="1" applyBorder="1" applyAlignment="1">
      <alignment horizontal="left" vertical="center" wrapText="1"/>
    </xf>
    <xf numFmtId="0" fontId="31" fillId="3" borderId="64" xfId="0" applyFont="1" applyFill="1" applyBorder="1" applyAlignment="1">
      <alignment horizontal="left" vertical="center" wrapText="1"/>
    </xf>
    <xf numFmtId="0" fontId="30" fillId="3" borderId="65" xfId="0" applyFont="1" applyFill="1" applyBorder="1" applyAlignment="1">
      <alignment horizontal="left" vertical="center" wrapText="1"/>
    </xf>
    <xf numFmtId="0" fontId="12" fillId="2" borderId="64" xfId="0" applyFont="1" applyFill="1" applyBorder="1" applyAlignment="1">
      <alignment horizontal="left" vertical="center" wrapText="1"/>
    </xf>
    <xf numFmtId="0" fontId="31" fillId="2" borderId="64" xfId="0" applyFont="1" applyFill="1" applyBorder="1" applyAlignment="1">
      <alignment horizontal="left" vertical="center" wrapText="1"/>
    </xf>
    <xf numFmtId="0" fontId="32" fillId="2" borderId="64" xfId="0" applyFont="1" applyFill="1" applyBorder="1" applyAlignment="1">
      <alignment horizontal="left" vertical="center" wrapText="1"/>
    </xf>
    <xf numFmtId="0" fontId="12" fillId="3" borderId="63" xfId="0" applyFont="1" applyFill="1" applyBorder="1" applyAlignment="1">
      <alignment horizontal="left" vertical="center" wrapText="1"/>
    </xf>
    <xf numFmtId="0" fontId="30" fillId="3" borderId="66" xfId="0" applyFont="1" applyFill="1" applyBorder="1" applyAlignment="1">
      <alignment horizontal="left" vertical="center" wrapText="1"/>
    </xf>
    <xf numFmtId="0" fontId="30" fillId="3" borderId="67" xfId="0" applyFont="1" applyFill="1" applyBorder="1" applyAlignment="1">
      <alignment horizontal="left" vertical="center" wrapText="1"/>
    </xf>
    <xf numFmtId="0" fontId="30" fillId="3" borderId="69" xfId="0" applyFont="1" applyFill="1" applyBorder="1" applyAlignment="1">
      <alignment horizontal="left" vertical="center" wrapText="1"/>
    </xf>
    <xf numFmtId="0" fontId="30" fillId="3" borderId="0" xfId="0" applyFont="1" applyFill="1" applyAlignment="1">
      <alignment horizontal="left" vertical="center" wrapText="1"/>
    </xf>
    <xf numFmtId="0" fontId="30" fillId="3" borderId="71" xfId="0" applyFont="1" applyFill="1" applyBorder="1" applyAlignment="1">
      <alignment horizontal="left" vertical="center" wrapText="1"/>
    </xf>
    <xf numFmtId="0" fontId="30" fillId="3" borderId="14" xfId="0" applyFont="1" applyFill="1" applyBorder="1" applyAlignment="1">
      <alignment horizontal="left" vertical="center" wrapText="1"/>
    </xf>
    <xf numFmtId="0" fontId="32" fillId="2" borderId="65" xfId="0" applyFont="1" applyFill="1" applyBorder="1" applyAlignment="1">
      <alignment horizontal="left" vertical="center" wrapText="1"/>
    </xf>
    <xf numFmtId="37" fontId="5" fillId="0" borderId="53" xfId="0" applyNumberFormat="1" applyFont="1" applyBorder="1" applyAlignment="1">
      <alignment horizontal="right" vertical="top" wrapText="1"/>
    </xf>
    <xf numFmtId="37" fontId="5" fillId="0" borderId="10" xfId="0" applyNumberFormat="1" applyFont="1" applyBorder="1" applyAlignment="1">
      <alignment horizontal="right" vertical="top" wrapText="1"/>
    </xf>
    <xf numFmtId="37" fontId="5" fillId="0" borderId="30" xfId="0" applyNumberFormat="1" applyFont="1" applyBorder="1" applyAlignment="1">
      <alignment horizontal="right" wrapText="1"/>
    </xf>
    <xf numFmtId="41" fontId="5" fillId="0" borderId="30" xfId="0" applyNumberFormat="1" applyFont="1" applyBorder="1" applyAlignment="1">
      <alignment horizontal="right" wrapText="1"/>
    </xf>
    <xf numFmtId="43" fontId="5" fillId="0" borderId="10" xfId="1" applyNumberFormat="1" applyFont="1" applyBorder="1" applyAlignment="1">
      <alignment horizontal="right" vertical="top" wrapText="1"/>
    </xf>
    <xf numFmtId="37" fontId="5" fillId="0" borderId="10" xfId="0" applyNumberFormat="1" applyFont="1" applyBorder="1" applyAlignment="1">
      <alignment horizontal="right" wrapText="1"/>
    </xf>
    <xf numFmtId="37" fontId="5" fillId="0" borderId="0" xfId="0" applyNumberFormat="1" applyFont="1" applyAlignment="1">
      <alignment horizontal="right" wrapText="1"/>
    </xf>
    <xf numFmtId="0" fontId="32" fillId="0" borderId="64" xfId="0" applyFont="1" applyBorder="1" applyAlignment="1">
      <alignment horizontal="left" vertical="center" wrapText="1"/>
    </xf>
    <xf numFmtId="0" fontId="31" fillId="0" borderId="64" xfId="0" applyFont="1" applyBorder="1" applyAlignment="1">
      <alignment horizontal="left" vertical="center" wrapText="1"/>
    </xf>
    <xf numFmtId="170" fontId="26" fillId="0" borderId="0" xfId="0" applyNumberFormat="1" applyFont="1" applyAlignment="1">
      <alignment vertical="center"/>
    </xf>
    <xf numFmtId="9" fontId="0" fillId="0" borderId="0" xfId="4" applyFont="1"/>
    <xf numFmtId="44" fontId="0" fillId="0" borderId="0" xfId="1" applyFont="1"/>
    <xf numFmtId="0" fontId="0" fillId="0" borderId="2" xfId="0" applyBorder="1" applyAlignment="1">
      <alignment wrapText="1"/>
    </xf>
    <xf numFmtId="41" fontId="0" fillId="0" borderId="17" xfId="1" applyNumberFormat="1" applyFont="1" applyBorder="1"/>
    <xf numFmtId="41" fontId="0" fillId="0" borderId="78" xfId="1" applyNumberFormat="1" applyFont="1" applyBorder="1"/>
    <xf numFmtId="41" fontId="0" fillId="0" borderId="30" xfId="1" applyNumberFormat="1" applyFont="1" applyBorder="1"/>
    <xf numFmtId="41" fontId="0" fillId="0" borderId="79" xfId="1" applyNumberFormat="1" applyFont="1" applyBorder="1"/>
    <xf numFmtId="41" fontId="0" fillId="0" borderId="24" xfId="1" applyNumberFormat="1" applyFont="1" applyBorder="1"/>
    <xf numFmtId="41" fontId="0" fillId="0" borderId="80" xfId="1" applyNumberFormat="1" applyFont="1" applyBorder="1"/>
    <xf numFmtId="41" fontId="0" fillId="0" borderId="7" xfId="1" applyNumberFormat="1" applyFont="1" applyBorder="1"/>
    <xf numFmtId="41" fontId="0" fillId="0" borderId="82" xfId="1" applyNumberFormat="1" applyFont="1" applyBorder="1"/>
    <xf numFmtId="41" fontId="0" fillId="0" borderId="77" xfId="1" applyNumberFormat="1" applyFont="1" applyFill="1" applyBorder="1" applyAlignment="1"/>
    <xf numFmtId="41" fontId="0" fillId="0" borderId="12" xfId="1" applyNumberFormat="1" applyFont="1" applyFill="1" applyBorder="1" applyAlignment="1"/>
    <xf numFmtId="41" fontId="0" fillId="0" borderId="62" xfId="1" applyNumberFormat="1" applyFont="1" applyBorder="1" applyAlignment="1"/>
    <xf numFmtId="41" fontId="0" fillId="0" borderId="19" xfId="1" applyNumberFormat="1" applyFont="1" applyFill="1" applyBorder="1" applyAlignment="1"/>
    <xf numFmtId="41" fontId="19" fillId="0" borderId="81" xfId="1" applyNumberFormat="1" applyFont="1" applyBorder="1"/>
    <xf numFmtId="41" fontId="19" fillId="0" borderId="32" xfId="1" applyNumberFormat="1" applyFont="1" applyBorder="1"/>
    <xf numFmtId="41" fontId="19" fillId="0" borderId="21" xfId="1" applyNumberFormat="1" applyFont="1" applyBorder="1"/>
    <xf numFmtId="41" fontId="19" fillId="0" borderId="22" xfId="1" applyNumberFormat="1" applyFont="1" applyBorder="1"/>
    <xf numFmtId="41" fontId="19" fillId="0" borderId="17" xfId="0" applyNumberFormat="1" applyFont="1" applyBorder="1" applyAlignment="1">
      <alignment horizontal="right" wrapText="1"/>
    </xf>
    <xf numFmtId="0" fontId="4" fillId="0" borderId="83" xfId="0" applyFont="1" applyBorder="1" applyAlignment="1">
      <alignment horizontal="center" vertical="top" wrapText="1"/>
    </xf>
    <xf numFmtId="0" fontId="0" fillId="0" borderId="84" xfId="0" applyBorder="1"/>
    <xf numFmtId="41" fontId="21" fillId="0" borderId="59" xfId="0" applyNumberFormat="1" applyFont="1" applyBorder="1"/>
    <xf numFmtId="41" fontId="22" fillId="0" borderId="59" xfId="0" applyNumberFormat="1" applyFont="1" applyBorder="1"/>
    <xf numFmtId="41" fontId="22" fillId="0" borderId="85" xfId="0" applyNumberFormat="1" applyFont="1" applyBorder="1"/>
    <xf numFmtId="41" fontId="22" fillId="0" borderId="59" xfId="4" applyNumberFormat="1" applyFont="1" applyBorder="1"/>
    <xf numFmtId="43" fontId="22" fillId="0" borderId="38" xfId="0" applyNumberFormat="1" applyFont="1" applyBorder="1"/>
    <xf numFmtId="43" fontId="22" fillId="0" borderId="59" xfId="0" applyNumberFormat="1" applyFont="1" applyBorder="1"/>
    <xf numFmtId="43" fontId="22" fillId="0" borderId="36" xfId="0" applyNumberFormat="1" applyFont="1" applyBorder="1"/>
    <xf numFmtId="43" fontId="22" fillId="0" borderId="47" xfId="0" applyNumberFormat="1" applyFont="1" applyBorder="1"/>
    <xf numFmtId="43" fontId="22" fillId="0" borderId="46" xfId="0" applyNumberFormat="1" applyFont="1" applyBorder="1"/>
    <xf numFmtId="43" fontId="22" fillId="0" borderId="44" xfId="0" applyNumberFormat="1" applyFont="1" applyBorder="1"/>
    <xf numFmtId="43" fontId="22" fillId="0" borderId="85" xfId="0" applyNumberFormat="1" applyFont="1" applyBorder="1"/>
    <xf numFmtId="0" fontId="4" fillId="0" borderId="86" xfId="0" applyFont="1" applyBorder="1" applyAlignment="1">
      <alignment horizontal="center" vertical="top" wrapText="1"/>
    </xf>
    <xf numFmtId="166" fontId="22" fillId="0" borderId="17" xfId="0" applyNumberFormat="1" applyFont="1" applyBorder="1"/>
    <xf numFmtId="164" fontId="21" fillId="0" borderId="17" xfId="4" applyNumberFormat="1" applyFont="1" applyBorder="1"/>
    <xf numFmtId="166" fontId="22" fillId="0" borderId="17" xfId="1" applyNumberFormat="1" applyFont="1" applyBorder="1"/>
    <xf numFmtId="41" fontId="22" fillId="0" borderId="34" xfId="0" applyNumberFormat="1" applyFont="1" applyBorder="1"/>
    <xf numFmtId="41" fontId="22" fillId="0" borderId="18" xfId="0" applyNumberFormat="1" applyFont="1" applyBorder="1"/>
    <xf numFmtId="41" fontId="17" fillId="0" borderId="17" xfId="0" applyNumberFormat="1" applyFont="1" applyBorder="1"/>
    <xf numFmtId="41" fontId="22" fillId="0" borderId="17" xfId="4" applyNumberFormat="1" applyFont="1" applyBorder="1"/>
    <xf numFmtId="43" fontId="21" fillId="0" borderId="17" xfId="0" applyNumberFormat="1" applyFont="1" applyBorder="1"/>
    <xf numFmtId="43" fontId="22" fillId="0" borderId="17" xfId="0" applyNumberFormat="1" applyFont="1" applyBorder="1"/>
    <xf numFmtId="43" fontId="22" fillId="0" borderId="18" xfId="0" applyNumberFormat="1" applyFont="1" applyBorder="1"/>
    <xf numFmtId="0" fontId="4" fillId="0" borderId="5" xfId="0" applyFont="1" applyBorder="1" applyAlignment="1">
      <alignment horizontal="center" vertical="top" wrapText="1"/>
    </xf>
    <xf numFmtId="41" fontId="21" fillId="0" borderId="1" xfId="0" applyNumberFormat="1" applyFont="1" applyBorder="1"/>
    <xf numFmtId="41" fontId="0" fillId="0" borderId="1" xfId="0" applyNumberFormat="1" applyBorder="1"/>
    <xf numFmtId="41" fontId="22" fillId="0" borderId="1" xfId="0" applyNumberFormat="1" applyFont="1" applyBorder="1"/>
    <xf numFmtId="41" fontId="21" fillId="0" borderId="87" xfId="0" applyNumberFormat="1" applyFont="1" applyBorder="1"/>
    <xf numFmtId="37" fontId="22" fillId="0" borderId="1" xfId="0" applyNumberFormat="1" applyFont="1" applyBorder="1"/>
    <xf numFmtId="164" fontId="21" fillId="0" borderId="1" xfId="0" applyNumberFormat="1" applyFont="1" applyBorder="1"/>
    <xf numFmtId="41" fontId="22" fillId="0" borderId="87" xfId="0" applyNumberFormat="1" applyFont="1" applyBorder="1"/>
    <xf numFmtId="41" fontId="22" fillId="0" borderId="88" xfId="0" applyNumberFormat="1" applyFont="1" applyBorder="1"/>
    <xf numFmtId="41" fontId="21" fillId="0" borderId="89" xfId="0" applyNumberFormat="1" applyFont="1" applyBorder="1"/>
    <xf numFmtId="37" fontId="21" fillId="0" borderId="1" xfId="0" applyNumberFormat="1" applyFont="1" applyBorder="1"/>
    <xf numFmtId="37" fontId="22" fillId="0" borderId="88" xfId="0" applyNumberFormat="1" applyFont="1" applyBorder="1"/>
    <xf numFmtId="41" fontId="21" fillId="0" borderId="33" xfId="0" applyNumberFormat="1" applyFont="1" applyBorder="1"/>
    <xf numFmtId="37" fontId="22" fillId="0" borderId="89" xfId="0" applyNumberFormat="1" applyFont="1" applyBorder="1"/>
    <xf numFmtId="39" fontId="21" fillId="0" borderId="1" xfId="0" applyNumberFormat="1" applyFont="1" applyBorder="1"/>
    <xf numFmtId="37" fontId="22" fillId="0" borderId="17" xfId="0" applyNumberFormat="1" applyFont="1" applyBorder="1"/>
    <xf numFmtId="164" fontId="21" fillId="0" borderId="17" xfId="0" applyNumberFormat="1" applyFont="1" applyBorder="1"/>
    <xf numFmtId="41" fontId="21" fillId="0" borderId="90" xfId="0" applyNumberFormat="1" applyFont="1" applyBorder="1"/>
    <xf numFmtId="37" fontId="21" fillId="0" borderId="17" xfId="0" applyNumberFormat="1" applyFont="1" applyBorder="1"/>
    <xf numFmtId="37" fontId="22" fillId="0" borderId="18" xfId="0" applyNumberFormat="1" applyFont="1" applyBorder="1"/>
    <xf numFmtId="37" fontId="22" fillId="0" borderId="90" xfId="0" applyNumberFormat="1" applyFont="1" applyBorder="1"/>
    <xf numFmtId="39" fontId="21" fillId="0" borderId="17" xfId="0" applyNumberFormat="1" applyFont="1" applyBorder="1"/>
    <xf numFmtId="2" fontId="26" fillId="0" borderId="0" xfId="0" applyNumberFormat="1" applyFont="1" applyAlignment="1">
      <alignment vertical="center"/>
    </xf>
    <xf numFmtId="2" fontId="0" fillId="0" borderId="0" xfId="0" applyNumberFormat="1"/>
    <xf numFmtId="0" fontId="4" fillId="4" borderId="0" xfId="0" applyFont="1" applyFill="1" applyAlignment="1">
      <alignment horizontal="center" vertical="top" wrapText="1"/>
    </xf>
    <xf numFmtId="0" fontId="0" fillId="4" borderId="0" xfId="0" applyFill="1"/>
    <xf numFmtId="41" fontId="21" fillId="4" borderId="0" xfId="0" applyNumberFormat="1" applyFont="1" applyFill="1"/>
    <xf numFmtId="41" fontId="22" fillId="4" borderId="0" xfId="0" applyNumberFormat="1" applyFont="1" applyFill="1"/>
    <xf numFmtId="166" fontId="22" fillId="4" borderId="0" xfId="0" applyNumberFormat="1" applyFont="1" applyFill="1"/>
    <xf numFmtId="164" fontId="21" fillId="4" borderId="0" xfId="4" applyNumberFormat="1" applyFont="1" applyFill="1" applyBorder="1"/>
    <xf numFmtId="166" fontId="22" fillId="4" borderId="0" xfId="1" applyNumberFormat="1" applyFont="1" applyFill="1" applyBorder="1"/>
    <xf numFmtId="164" fontId="21" fillId="4" borderId="0" xfId="1" applyNumberFormat="1" applyFont="1" applyFill="1" applyBorder="1"/>
    <xf numFmtId="41" fontId="22" fillId="4" borderId="0" xfId="4" applyNumberFormat="1" applyFont="1" applyFill="1" applyBorder="1"/>
    <xf numFmtId="43" fontId="21" fillId="4" borderId="0" xfId="0" applyNumberFormat="1" applyFont="1" applyFill="1"/>
    <xf numFmtId="43" fontId="22" fillId="4" borderId="0" xfId="0" applyNumberFormat="1" applyFont="1" applyFill="1"/>
    <xf numFmtId="41" fontId="0" fillId="4" borderId="0" xfId="0" applyNumberFormat="1" applyFill="1"/>
    <xf numFmtId="37" fontId="22" fillId="4" borderId="0" xfId="0" applyNumberFormat="1" applyFont="1" applyFill="1"/>
    <xf numFmtId="164" fontId="21" fillId="4" borderId="0" xfId="0" applyNumberFormat="1" applyFont="1" applyFill="1"/>
    <xf numFmtId="37" fontId="21" fillId="4" borderId="0" xfId="0" applyNumberFormat="1" applyFont="1" applyFill="1"/>
    <xf numFmtId="41" fontId="22" fillId="4" borderId="0" xfId="0" applyNumberFormat="1" applyFont="1" applyFill="1" applyAlignment="1">
      <alignment horizontal="right"/>
    </xf>
    <xf numFmtId="41" fontId="17" fillId="4" borderId="0" xfId="0" applyNumberFormat="1" applyFont="1" applyFill="1" applyAlignment="1">
      <alignment horizontal="right"/>
    </xf>
    <xf numFmtId="43" fontId="0" fillId="0" borderId="10" xfId="1" applyNumberFormat="1" applyFont="1" applyFill="1" applyBorder="1" applyAlignment="1">
      <alignment horizontal="right" vertical="top" wrapText="1"/>
    </xf>
    <xf numFmtId="43" fontId="5" fillId="0" borderId="10" xfId="1" applyNumberFormat="1" applyFont="1" applyFill="1" applyBorder="1" applyAlignment="1">
      <alignment horizontal="right" vertical="top" wrapText="1"/>
    </xf>
    <xf numFmtId="43" fontId="0" fillId="0" borderId="10" xfId="1" applyNumberFormat="1" applyFont="1" applyFill="1" applyBorder="1" applyAlignment="1">
      <alignment horizontal="right" wrapText="1"/>
    </xf>
    <xf numFmtId="37" fontId="21" fillId="0" borderId="90" xfId="0" applyNumberFormat="1" applyFont="1" applyBorder="1"/>
    <xf numFmtId="37" fontId="21" fillId="0" borderId="60" xfId="0" applyNumberFormat="1" applyFont="1" applyBorder="1"/>
    <xf numFmtId="37" fontId="21" fillId="0" borderId="89" xfId="0" applyNumberFormat="1" applyFont="1" applyBorder="1"/>
    <xf numFmtId="37" fontId="21" fillId="0" borderId="0" xfId="0" applyNumberFormat="1" applyFont="1"/>
    <xf numFmtId="39" fontId="21" fillId="0" borderId="0" xfId="0" applyNumberFormat="1" applyFont="1"/>
    <xf numFmtId="39" fontId="22" fillId="0" borderId="2" xfId="0" applyNumberFormat="1" applyFont="1" applyBorder="1"/>
    <xf numFmtId="39" fontId="22" fillId="0" borderId="1" xfId="0" applyNumberFormat="1" applyFont="1" applyBorder="1"/>
    <xf numFmtId="39" fontId="22" fillId="0" borderId="0" xfId="0" applyNumberFormat="1" applyFont="1"/>
    <xf numFmtId="39" fontId="22" fillId="0" borderId="17" xfId="0" applyNumberFormat="1" applyFont="1" applyBorder="1"/>
    <xf numFmtId="39" fontId="22" fillId="0" borderId="18" xfId="0" applyNumberFormat="1" applyFont="1" applyBorder="1"/>
    <xf numFmtId="41" fontId="20" fillId="0" borderId="0" xfId="0" applyNumberFormat="1" applyFont="1"/>
    <xf numFmtId="41" fontId="5" fillId="0" borderId="17" xfId="0" applyNumberFormat="1" applyFont="1" applyBorder="1"/>
    <xf numFmtId="41" fontId="19" fillId="0" borderId="17" xfId="0" applyNumberFormat="1" applyFont="1" applyBorder="1" applyAlignment="1">
      <alignment horizontal="right"/>
    </xf>
    <xf numFmtId="41" fontId="0" fillId="0" borderId="20" xfId="0" applyNumberFormat="1" applyBorder="1"/>
    <xf numFmtId="41" fontId="0" fillId="0" borderId="0" xfId="1" applyNumberFormat="1" applyFont="1" applyFill="1" applyAlignment="1">
      <alignment wrapText="1"/>
    </xf>
    <xf numFmtId="37" fontId="4" fillId="0" borderId="2" xfId="0" applyNumberFormat="1" applyFont="1" applyBorder="1" applyAlignment="1">
      <alignment wrapText="1"/>
    </xf>
    <xf numFmtId="41" fontId="0" fillId="0" borderId="13" xfId="0" applyNumberFormat="1" applyBorder="1" applyAlignment="1">
      <alignment horizontal="right" wrapText="1"/>
    </xf>
    <xf numFmtId="37" fontId="4" fillId="0" borderId="2" xfId="0" applyNumberFormat="1" applyFont="1" applyBorder="1" applyAlignment="1">
      <alignment horizontal="right" wrapText="1"/>
    </xf>
    <xf numFmtId="165" fontId="0" fillId="0" borderId="0" xfId="0" applyNumberFormat="1"/>
    <xf numFmtId="165" fontId="0" fillId="0" borderId="2" xfId="0" applyNumberFormat="1" applyBorder="1" applyAlignment="1">
      <alignment horizontal="right" vertical="top" wrapText="1"/>
    </xf>
    <xf numFmtId="43" fontId="0" fillId="0" borderId="18" xfId="1" applyNumberFormat="1" applyFont="1" applyFill="1" applyBorder="1" applyAlignment="1">
      <alignment horizontal="right" wrapText="1"/>
    </xf>
    <xf numFmtId="43" fontId="0" fillId="0" borderId="13" xfId="0" applyNumberFormat="1" applyBorder="1" applyAlignment="1">
      <alignment horizontal="right" wrapText="1"/>
    </xf>
    <xf numFmtId="3" fontId="0" fillId="0" borderId="0" xfId="0" applyNumberFormat="1"/>
    <xf numFmtId="0" fontId="0" fillId="0" borderId="4" xfId="0" applyBorder="1" applyAlignment="1">
      <alignment horizontal="right" vertical="top" wrapText="1"/>
    </xf>
    <xf numFmtId="170" fontId="0" fillId="0" borderId="0" xfId="0" applyNumberFormat="1"/>
    <xf numFmtId="41" fontId="22" fillId="0" borderId="36" xfId="4" applyNumberFormat="1" applyFont="1" applyFill="1" applyBorder="1"/>
    <xf numFmtId="41" fontId="22" fillId="0" borderId="47" xfId="4" applyNumberFormat="1" applyFont="1" applyFill="1" applyBorder="1"/>
    <xf numFmtId="41" fontId="0" fillId="0" borderId="0" xfId="0" applyNumberFormat="1" applyAlignment="1">
      <alignment horizontal="right" wrapText="1"/>
    </xf>
    <xf numFmtId="0" fontId="3" fillId="0" borderId="1" xfId="0" applyFont="1" applyBorder="1"/>
    <xf numFmtId="43" fontId="0" fillId="0" borderId="10" xfId="8" applyNumberFormat="1" applyFont="1" applyFill="1" applyBorder="1" applyAlignment="1">
      <alignment horizontal="right" vertical="top" wrapText="1"/>
    </xf>
    <xf numFmtId="43" fontId="5" fillId="0" borderId="10" xfId="8" applyNumberFormat="1" applyFont="1" applyFill="1" applyBorder="1" applyAlignment="1">
      <alignment horizontal="right" vertical="top" wrapText="1"/>
    </xf>
    <xf numFmtId="43" fontId="0" fillId="0" borderId="10" xfId="8" applyNumberFormat="1" applyFont="1" applyFill="1" applyBorder="1" applyAlignment="1">
      <alignment horizontal="right" wrapText="1"/>
    </xf>
    <xf numFmtId="164" fontId="21" fillId="0" borderId="1" xfId="9" applyNumberFormat="1" applyFont="1" applyBorder="1"/>
    <xf numFmtId="166" fontId="22" fillId="0" borderId="1" xfId="8" applyNumberFormat="1" applyFont="1" applyBorder="1"/>
    <xf numFmtId="164" fontId="21" fillId="0" borderId="38" xfId="9" applyNumberFormat="1" applyFont="1" applyBorder="1"/>
    <xf numFmtId="164" fontId="21" fillId="0" borderId="38" xfId="8" applyNumberFormat="1" applyFont="1" applyBorder="1"/>
    <xf numFmtId="0" fontId="0" fillId="0" borderId="1" xfId="0" applyBorder="1" applyAlignment="1">
      <alignment horizontal="left" wrapText="1" indent="1"/>
    </xf>
    <xf numFmtId="164" fontId="21" fillId="0" borderId="59" xfId="9" applyNumberFormat="1" applyFont="1" applyFill="1" applyBorder="1"/>
    <xf numFmtId="164" fontId="21" fillId="0" borderId="59" xfId="8" applyNumberFormat="1" applyFont="1" applyFill="1" applyBorder="1"/>
    <xf numFmtId="166" fontId="22" fillId="0" borderId="59" xfId="8" applyNumberFormat="1" applyFont="1" applyFill="1" applyBorder="1"/>
    <xf numFmtId="43" fontId="21" fillId="0" borderId="1" xfId="0" applyNumberFormat="1" applyFont="1" applyBorder="1"/>
    <xf numFmtId="0" fontId="4" fillId="0" borderId="29" xfId="0" applyFont="1" applyBorder="1" applyAlignment="1">
      <alignment horizontal="center" wrapText="1"/>
    </xf>
    <xf numFmtId="0" fontId="4" fillId="0" borderId="9" xfId="0" applyFont="1" applyBorder="1" applyAlignment="1">
      <alignment horizontal="center" wrapText="1"/>
    </xf>
    <xf numFmtId="165" fontId="0" fillId="5" borderId="2" xfId="0" applyNumberFormat="1" applyFill="1" applyBorder="1" applyAlignment="1">
      <alignment horizontal="right" vertical="top" wrapText="1"/>
    </xf>
    <xf numFmtId="43" fontId="0" fillId="5" borderId="13" xfId="0" applyNumberFormat="1" applyFill="1" applyBorder="1" applyAlignment="1">
      <alignment horizontal="right" wrapText="1"/>
    </xf>
    <xf numFmtId="0" fontId="0" fillId="5" borderId="2" xfId="0" applyFill="1" applyBorder="1" applyAlignment="1">
      <alignment horizontal="right" vertical="top" wrapText="1"/>
    </xf>
    <xf numFmtId="3" fontId="0" fillId="5" borderId="2" xfId="0" applyNumberFormat="1" applyFill="1" applyBorder="1" applyAlignment="1">
      <alignment horizontal="right" vertical="top" wrapText="1"/>
    </xf>
    <xf numFmtId="167" fontId="0" fillId="5" borderId="2" xfId="0" applyNumberFormat="1" applyFill="1" applyBorder="1" applyAlignment="1">
      <alignment horizontal="right" vertical="top" wrapText="1"/>
    </xf>
    <xf numFmtId="43" fontId="0" fillId="0" borderId="0" xfId="13" applyFont="1"/>
    <xf numFmtId="41" fontId="0" fillId="0" borderId="0" xfId="0" quotePrefix="1" applyNumberFormat="1"/>
    <xf numFmtId="43" fontId="0" fillId="0" borderId="0" xfId="13" applyFont="1" applyFill="1" applyProtection="1">
      <protection locked="0"/>
    </xf>
    <xf numFmtId="43" fontId="0" fillId="0" borderId="0" xfId="13" applyFont="1" applyFill="1"/>
    <xf numFmtId="0" fontId="3" fillId="0" borderId="2" xfId="0" applyFont="1" applyBorder="1" applyAlignment="1">
      <alignment horizontal="left" vertical="top" wrapText="1"/>
    </xf>
    <xf numFmtId="0" fontId="3" fillId="0" borderId="0" xfId="0" applyFont="1"/>
    <xf numFmtId="0" fontId="4" fillId="0" borderId="3" xfId="0" applyFont="1" applyBorder="1" applyAlignment="1">
      <alignment horizontal="left" vertical="top" wrapText="1" indent="1"/>
    </xf>
    <xf numFmtId="0" fontId="4" fillId="0" borderId="0" xfId="0" applyFont="1" applyAlignment="1">
      <alignment horizontal="left" vertical="top" wrapText="1" indent="1"/>
    </xf>
    <xf numFmtId="171" fontId="0" fillId="0" borderId="10" xfId="1" applyNumberFormat="1" applyFont="1" applyFill="1" applyBorder="1" applyAlignment="1">
      <alignment horizontal="right" vertical="top" wrapText="1"/>
    </xf>
    <xf numFmtId="41" fontId="4" fillId="0" borderId="4" xfId="0" applyNumberFormat="1" applyFont="1" applyBorder="1" applyAlignment="1">
      <alignment horizontal="right" vertical="top" wrapText="1"/>
    </xf>
    <xf numFmtId="0" fontId="0" fillId="0" borderId="0" xfId="0" applyAlignment="1">
      <alignment vertical="top" wrapText="1"/>
    </xf>
    <xf numFmtId="0" fontId="5" fillId="0" borderId="0" xfId="0" applyFont="1" applyAlignment="1">
      <alignment vertical="top"/>
    </xf>
    <xf numFmtId="0" fontId="0" fillId="0" borderId="0" xfId="0" applyAlignment="1">
      <alignment vertical="top"/>
    </xf>
    <xf numFmtId="43" fontId="0" fillId="0" borderId="2" xfId="13" applyFont="1" applyBorder="1"/>
    <xf numFmtId="0" fontId="0" fillId="0" borderId="0" xfId="0" applyAlignment="1">
      <alignment vertical="center" wrapText="1"/>
    </xf>
    <xf numFmtId="0" fontId="30" fillId="3" borderId="68" xfId="0" applyFont="1" applyFill="1" applyBorder="1" applyAlignment="1">
      <alignment horizontal="left" vertical="center" wrapText="1"/>
    </xf>
    <xf numFmtId="0" fontId="30" fillId="3" borderId="70" xfId="0" applyFont="1" applyFill="1" applyBorder="1" applyAlignment="1">
      <alignment horizontal="left" vertical="center" wrapText="1"/>
    </xf>
    <xf numFmtId="0" fontId="30" fillId="3" borderId="72" xfId="0" applyFont="1" applyFill="1" applyBorder="1" applyAlignment="1">
      <alignment horizontal="left" vertical="center" wrapText="1"/>
    </xf>
    <xf numFmtId="0" fontId="0" fillId="0" borderId="0" xfId="0" applyAlignment="1">
      <alignment wrapText="1"/>
    </xf>
  </cellXfs>
  <cellStyles count="14">
    <cellStyle name="Comma" xfId="13" builtinId="3"/>
    <cellStyle name="Currency" xfId="1" builtinId="4"/>
    <cellStyle name="Currency 2" xfId="8" xr:uid="{6FF99598-511E-43DB-A228-2E01B2D1C885}"/>
    <cellStyle name="Normal" xfId="0" builtinId="0"/>
    <cellStyle name="Normal 2" xfId="2" xr:uid="{00000000-0005-0000-0000-000003000000}"/>
    <cellStyle name="Normal 3" xfId="3" xr:uid="{00000000-0005-0000-0000-000004000000}"/>
    <cellStyle name="Normal 4" xfId="5" xr:uid="{00000000-0005-0000-0000-000005000000}"/>
    <cellStyle name="Normal 4 2" xfId="10" xr:uid="{26CAF79C-DB1A-41EB-8069-04C72C1EB314}"/>
    <cellStyle name="Normal 5" xfId="6" xr:uid="{00000000-0005-0000-0000-000006000000}"/>
    <cellStyle name="Normal 5 2" xfId="11" xr:uid="{1038CB02-9CAF-441E-B0A3-50654B2D3649}"/>
    <cellStyle name="Percent" xfId="4" builtinId="5"/>
    <cellStyle name="Percent 2" xfId="7" xr:uid="{00000000-0005-0000-0000-000008000000}"/>
    <cellStyle name="Percent 2 2" xfId="12" xr:uid="{ADBC62A7-DD8D-4A9C-B5E7-045BEE404BF7}"/>
    <cellStyle name="Percent 3" xfId="9" xr:uid="{5789AC77-4EC9-4416-9256-F20736919AD8}"/>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212033</xdr:colOff>
      <xdr:row>1</xdr:row>
      <xdr:rowOff>29816</xdr:rowOff>
    </xdr:from>
    <xdr:to>
      <xdr:col>7</xdr:col>
      <xdr:colOff>72887</xdr:colOff>
      <xdr:row>30</xdr:row>
      <xdr:rowOff>0</xdr:rowOff>
    </xdr:to>
    <xdr:sp macro="" textlink="">
      <xdr:nvSpPr>
        <xdr:cNvPr id="3" name="TextBox 2">
          <a:extLst>
            <a:ext uri="{FF2B5EF4-FFF2-40B4-BE49-F238E27FC236}">
              <a16:creationId xmlns:a16="http://schemas.microsoft.com/office/drawing/2014/main" id="{F9B46CB0-E932-D6BC-7605-81838BDCABB9}"/>
            </a:ext>
          </a:extLst>
        </xdr:cNvPr>
        <xdr:cNvSpPr txBox="1"/>
      </xdr:nvSpPr>
      <xdr:spPr>
        <a:xfrm>
          <a:off x="212033" y="195468"/>
          <a:ext cx="9627706" cy="47740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MY" sz="1100">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200" b="1">
            <a:solidFill>
              <a:schemeClr val="dk1"/>
            </a:solidFill>
            <a:effectLst/>
            <a:latin typeface="Arial" panose="020B0604020202020204" pitchFamily="34" charset="0"/>
            <a:ea typeface="+mn-ea"/>
            <a:cs typeface="Arial" panose="020B0604020202020204" pitchFamily="34" charset="0"/>
          </a:endParaRPr>
        </a:p>
        <a:p>
          <a:r>
            <a:rPr lang="en-US" sz="1200" b="1">
              <a:solidFill>
                <a:schemeClr val="dk1"/>
              </a:solidFill>
              <a:effectLst/>
              <a:latin typeface="Arial" panose="020B0604020202020204" pitchFamily="34" charset="0"/>
              <a:ea typeface="+mn-ea"/>
              <a:cs typeface="Arial" panose="020B0604020202020204" pitchFamily="34" charset="0"/>
            </a:rPr>
            <a:t>December 31, 2025</a:t>
          </a:r>
          <a:endParaRPr lang="en-MY" sz="1200">
            <a:solidFill>
              <a:schemeClr val="dk1"/>
            </a:solidFill>
            <a:effectLst/>
            <a:latin typeface="Arial" panose="020B0604020202020204" pitchFamily="34" charset="0"/>
            <a:ea typeface="+mn-ea"/>
            <a:cs typeface="Arial" panose="020B0604020202020204" pitchFamily="34" charset="0"/>
          </a:endParaRPr>
        </a:p>
        <a:p>
          <a:r>
            <a:rPr lang="en-US" sz="1200" b="1">
              <a:solidFill>
                <a:schemeClr val="dk1"/>
              </a:solidFill>
              <a:effectLst/>
              <a:latin typeface="Arial" panose="020B0604020202020204" pitchFamily="34" charset="0"/>
              <a:ea typeface="+mn-ea"/>
              <a:cs typeface="Arial" panose="020B0604020202020204" pitchFamily="34" charset="0"/>
            </a:rPr>
            <a:t> </a:t>
          </a:r>
          <a:endParaRPr lang="en-MY" sz="1200">
            <a:solidFill>
              <a:schemeClr val="dk1"/>
            </a:solidFill>
            <a:effectLst/>
            <a:latin typeface="Arial" panose="020B0604020202020204" pitchFamily="34" charset="0"/>
            <a:ea typeface="+mn-ea"/>
            <a:cs typeface="Arial" panose="020B0604020202020204" pitchFamily="34" charset="0"/>
          </a:endParaRPr>
        </a:p>
        <a:p>
          <a:r>
            <a:rPr lang="en-US" sz="1200" b="1" u="none" strike="noStrike">
              <a:solidFill>
                <a:schemeClr val="dk1"/>
              </a:solidFill>
              <a:effectLst/>
              <a:latin typeface="Arial" panose="020B0604020202020204" pitchFamily="34" charset="0"/>
              <a:ea typeface="+mn-ea"/>
              <a:cs typeface="Arial" panose="020B0604020202020204" pitchFamily="34" charset="0"/>
            </a:rPr>
            <a:t> </a:t>
          </a:r>
          <a:endParaRPr lang="en-MY" sz="1200">
            <a:solidFill>
              <a:schemeClr val="dk1"/>
            </a:solidFill>
            <a:effectLst/>
            <a:latin typeface="Arial" panose="020B0604020202020204" pitchFamily="34" charset="0"/>
            <a:ea typeface="+mn-ea"/>
            <a:cs typeface="Arial" panose="020B0604020202020204" pitchFamily="34" charset="0"/>
          </a:endParaRPr>
        </a:p>
        <a:p>
          <a:r>
            <a:rPr lang="en-US" sz="1200" b="1" i="1">
              <a:solidFill>
                <a:schemeClr val="dk1"/>
              </a:solidFill>
              <a:effectLst/>
              <a:latin typeface="Arial" panose="020B0604020202020204" pitchFamily="34" charset="0"/>
              <a:ea typeface="+mn-ea"/>
              <a:cs typeface="Arial" panose="020B0604020202020204" pitchFamily="34" charset="0"/>
            </a:rPr>
            <a:t>NOTE: For the convenience of the financial community and other interested parties, NXP is providing a summary of previously reported financial information in this spreadsheet format. </a:t>
          </a:r>
          <a:endParaRPr lang="en-MY" sz="1200">
            <a:solidFill>
              <a:schemeClr val="dk1"/>
            </a:solidFill>
            <a:effectLst/>
            <a:latin typeface="Arial" panose="020B0604020202020204" pitchFamily="34" charset="0"/>
            <a:ea typeface="+mn-ea"/>
            <a:cs typeface="Arial" panose="020B0604020202020204" pitchFamily="34" charset="0"/>
          </a:endParaRPr>
        </a:p>
        <a:p>
          <a:r>
            <a:rPr lang="en-US" sz="1200" b="1" u="none" strike="noStrike">
              <a:solidFill>
                <a:schemeClr val="dk1"/>
              </a:solidFill>
              <a:effectLst/>
              <a:latin typeface="Arial" panose="020B0604020202020204" pitchFamily="34" charset="0"/>
              <a:ea typeface="+mn-ea"/>
              <a:cs typeface="Arial" panose="020B0604020202020204" pitchFamily="34" charset="0"/>
            </a:rPr>
            <a:t> </a:t>
          </a:r>
          <a:endParaRPr lang="en-MY" sz="1200">
            <a:solidFill>
              <a:schemeClr val="dk1"/>
            </a:solidFill>
            <a:effectLst/>
            <a:latin typeface="Arial" panose="020B0604020202020204" pitchFamily="34" charset="0"/>
            <a:ea typeface="+mn-ea"/>
            <a:cs typeface="Arial" panose="020B0604020202020204" pitchFamily="34" charset="0"/>
          </a:endParaRPr>
        </a:p>
        <a:p>
          <a:r>
            <a:rPr lang="en-US" sz="800" b="1" u="sng">
              <a:solidFill>
                <a:schemeClr val="dk1"/>
              </a:solidFill>
              <a:effectLst/>
              <a:latin typeface="Arial" panose="020B0604020202020204" pitchFamily="34" charset="0"/>
              <a:ea typeface="+mn-ea"/>
              <a:cs typeface="Arial" panose="020B0604020202020204" pitchFamily="34" charset="0"/>
            </a:rPr>
            <a:t>Non-GAAP Financial Measures </a:t>
          </a:r>
          <a:endParaRPr lang="en-MY" sz="800">
            <a:solidFill>
              <a:schemeClr val="dk1"/>
            </a:solidFill>
            <a:effectLst/>
            <a:latin typeface="Arial" panose="020B0604020202020204" pitchFamily="34" charset="0"/>
            <a:ea typeface="+mn-ea"/>
            <a:cs typeface="Arial" panose="020B0604020202020204" pitchFamily="34" charset="0"/>
          </a:endParaRPr>
        </a:p>
        <a:p>
          <a:r>
            <a:rPr lang="en-US" sz="800" i="1">
              <a:solidFill>
                <a:schemeClr val="dk1"/>
              </a:solidFill>
              <a:effectLst/>
              <a:latin typeface="+mn-lt"/>
              <a:ea typeface="+mn-ea"/>
              <a:cs typeface="+mn-cs"/>
            </a:rPr>
            <a:t> </a:t>
          </a:r>
          <a:endParaRPr lang="en-MY" sz="800">
            <a:solidFill>
              <a:schemeClr val="dk1"/>
            </a:solidFill>
            <a:effectLst/>
            <a:latin typeface="+mn-lt"/>
            <a:ea typeface="+mn-ea"/>
            <a:cs typeface="+mn-cs"/>
          </a:endParaRPr>
        </a:p>
        <a:p>
          <a:r>
            <a:rPr lang="en-US" sz="800" i="1">
              <a:solidFill>
                <a:schemeClr val="dk1"/>
              </a:solidFill>
              <a:effectLst/>
              <a:latin typeface="+mn-lt"/>
              <a:ea typeface="+mn-ea"/>
              <a:cs typeface="+mn-cs"/>
            </a:rPr>
            <a:t> </a:t>
          </a:r>
          <a:endParaRPr lang="en-MY" sz="800">
            <a:solidFill>
              <a:schemeClr val="dk1"/>
            </a:solidFill>
            <a:effectLst/>
            <a:latin typeface="+mn-lt"/>
            <a:ea typeface="+mn-ea"/>
            <a:cs typeface="+mn-cs"/>
          </a:endParaRPr>
        </a:p>
        <a:p>
          <a:r>
            <a:rPr lang="en-US" sz="800">
              <a:solidFill>
                <a:schemeClr val="dk1"/>
              </a:solidFill>
              <a:effectLst/>
              <a:latin typeface="Arial" panose="020B0604020202020204" pitchFamily="34" charset="0"/>
              <a:ea typeface="+mn-ea"/>
              <a:cs typeface="Arial" panose="020B0604020202020204" pitchFamily="34" charset="0"/>
            </a:rPr>
            <a:t>In addition to providing financial information on a basis consistent with U.S. generally accepted accounting principles ("US GAAP" or “GAAP”), NXP also provides selected financial measures on a non-GAAP basis which are adjusted for specified items. The adjustments made to achieve these non-GAAP financial measures or the non-GAAP financial measures as specified are described below, including the usefulness to management and investors.</a:t>
          </a:r>
          <a:endParaRPr lang="en-MY" sz="800">
            <a:solidFill>
              <a:schemeClr val="dk1"/>
            </a:solidFill>
            <a:effectLst/>
            <a:latin typeface="Arial" panose="020B0604020202020204" pitchFamily="34" charset="0"/>
            <a:ea typeface="+mn-ea"/>
            <a:cs typeface="Arial" panose="020B0604020202020204" pitchFamily="34" charset="0"/>
          </a:endParaRPr>
        </a:p>
        <a:p>
          <a:r>
            <a:rPr lang="en-US" sz="800">
              <a:solidFill>
                <a:schemeClr val="dk1"/>
              </a:solidFill>
              <a:effectLst/>
              <a:latin typeface="Arial" panose="020B0604020202020204" pitchFamily="34" charset="0"/>
              <a:ea typeface="+mn-ea"/>
              <a:cs typeface="Arial" panose="020B0604020202020204" pitchFamily="34" charset="0"/>
            </a:rPr>
            <a:t> </a:t>
          </a:r>
          <a:endParaRPr lang="en-MY" sz="800">
            <a:solidFill>
              <a:schemeClr val="dk1"/>
            </a:solidFill>
            <a:effectLst/>
            <a:latin typeface="Arial" panose="020B0604020202020204" pitchFamily="34" charset="0"/>
            <a:ea typeface="+mn-ea"/>
            <a:cs typeface="Arial" panose="020B0604020202020204" pitchFamily="34" charset="0"/>
          </a:endParaRPr>
        </a:p>
        <a:p>
          <a:r>
            <a:rPr lang="en-US" sz="800">
              <a:solidFill>
                <a:schemeClr val="dk1"/>
              </a:solidFill>
              <a:effectLst/>
              <a:latin typeface="Arial" panose="020B0604020202020204" pitchFamily="34" charset="0"/>
              <a:ea typeface="+mn-ea"/>
              <a:cs typeface="Arial" panose="020B0604020202020204" pitchFamily="34" charset="0"/>
            </a:rPr>
            <a:t>In managing NXP’s business on a consolidated basis, management develops an annual operating plan, which is approved by our Board of Directors, using non-GAAP financial measures. In measuring performance against this plan, management considers the actual or potential impacts on these non-GAAP financial measures from actions taken to reduce costs with the goal of increasing our gross margin and operating margin and when assessing appropriate levels of research and development efforts. In addition, management relies upon these non-GAAP financial measures when making decisions about product spending, administrative budgets, and other operating expenses. We believe that these non-GAAP financial measures, when coupled with the GAAP results and the reconciliations to corresponding GAAP financial measures, provide a more complete understanding of the Company’s results of operations and the factors and trends affecting NXP’s business. We believe that they enable investors to perform additional comparisons of our operating results, to assess our liquidity and capital position and to analyze financial performance excluding the effect of expenses unrelated to operations, certain non-cash expenses and share-based compensation expense, which may obscure trends in NXP’s underlying performance. This information also enables investors to compare financial results between periods where certain items may vary independent of business performance, and allow for greater transparency with respect to key metrics used by management.</a:t>
          </a:r>
          <a:endParaRPr lang="en-MY" sz="800">
            <a:solidFill>
              <a:schemeClr val="dk1"/>
            </a:solidFill>
            <a:effectLst/>
            <a:latin typeface="Arial" panose="020B0604020202020204" pitchFamily="34" charset="0"/>
            <a:ea typeface="+mn-ea"/>
            <a:cs typeface="Arial" panose="020B0604020202020204" pitchFamily="34" charset="0"/>
          </a:endParaRPr>
        </a:p>
        <a:p>
          <a:r>
            <a:rPr lang="en-US" sz="800">
              <a:solidFill>
                <a:schemeClr val="dk1"/>
              </a:solidFill>
              <a:effectLst/>
              <a:latin typeface="Arial" panose="020B0604020202020204" pitchFamily="34" charset="0"/>
              <a:ea typeface="+mn-ea"/>
              <a:cs typeface="Arial" panose="020B0604020202020204" pitchFamily="34" charset="0"/>
            </a:rPr>
            <a:t> </a:t>
          </a:r>
          <a:endParaRPr lang="en-MY" sz="800">
            <a:solidFill>
              <a:schemeClr val="dk1"/>
            </a:solidFill>
            <a:effectLst/>
            <a:latin typeface="Arial" panose="020B0604020202020204" pitchFamily="34" charset="0"/>
            <a:ea typeface="+mn-ea"/>
            <a:cs typeface="Arial" panose="020B0604020202020204" pitchFamily="34" charset="0"/>
          </a:endParaRPr>
        </a:p>
        <a:p>
          <a:r>
            <a:rPr lang="en-US" sz="800">
              <a:solidFill>
                <a:schemeClr val="dk1"/>
              </a:solidFill>
              <a:effectLst/>
              <a:latin typeface="Arial" panose="020B0604020202020204" pitchFamily="34" charset="0"/>
              <a:ea typeface="+mn-ea"/>
              <a:cs typeface="Arial" panose="020B0604020202020204" pitchFamily="34" charset="0"/>
            </a:rPr>
            <a:t>Reconciliations of these non-GAAP measures to the most comparable measures calculated in accordance with GAAP are provided in the documents and filings in which these non-GAAP measures are referenced, including our earnings release and proxy statements.</a:t>
          </a:r>
          <a:endParaRPr lang="en-MY" sz="800">
            <a:solidFill>
              <a:schemeClr val="dk1"/>
            </a:solidFill>
            <a:effectLst/>
            <a:latin typeface="Arial" panose="020B0604020202020204" pitchFamily="34" charset="0"/>
            <a:ea typeface="+mn-ea"/>
            <a:cs typeface="Arial" panose="020B0604020202020204" pitchFamily="34" charset="0"/>
          </a:endParaRPr>
        </a:p>
        <a:p>
          <a:r>
            <a:rPr lang="en-US" sz="800">
              <a:solidFill>
                <a:schemeClr val="dk1"/>
              </a:solidFill>
              <a:effectLst/>
              <a:latin typeface="Arial" panose="020B0604020202020204" pitchFamily="34" charset="0"/>
              <a:ea typeface="+mn-ea"/>
              <a:cs typeface="Arial" panose="020B0604020202020204" pitchFamily="34" charset="0"/>
            </a:rPr>
            <a:t> </a:t>
          </a:r>
          <a:endParaRPr lang="en-MY" sz="800">
            <a:solidFill>
              <a:schemeClr val="dk1"/>
            </a:solidFill>
            <a:effectLst/>
            <a:latin typeface="Arial" panose="020B0604020202020204" pitchFamily="34" charset="0"/>
            <a:ea typeface="+mn-ea"/>
            <a:cs typeface="Arial" panose="020B0604020202020204" pitchFamily="34" charset="0"/>
          </a:endParaRPr>
        </a:p>
        <a:p>
          <a:r>
            <a:rPr lang="en-US" sz="800">
              <a:solidFill>
                <a:schemeClr val="dk1"/>
              </a:solidFill>
              <a:effectLst/>
              <a:latin typeface="Arial" panose="020B0604020202020204" pitchFamily="34" charset="0"/>
              <a:ea typeface="+mn-ea"/>
              <a:cs typeface="Arial" panose="020B0604020202020204" pitchFamily="34" charset="0"/>
            </a:rPr>
            <a:t>The presentation of these and other similar items in NXP’s non-GAAP financial results should not be interpreted as implying that these items are non-recurring, infrequent, or unusual. These non-GAAP financial measures are provided in addition to, and not as a substitute for, or superior to, measures of financial performance prepared in accordance with GAAP.</a:t>
          </a:r>
          <a:endParaRPr lang="en-MY" sz="800">
            <a:solidFill>
              <a:schemeClr val="dk1"/>
            </a:solidFill>
            <a:effectLst/>
            <a:latin typeface="Arial" panose="020B0604020202020204" pitchFamily="34" charset="0"/>
            <a:ea typeface="+mn-ea"/>
            <a:cs typeface="Arial" panose="020B0604020202020204" pitchFamily="34" charset="0"/>
          </a:endParaRPr>
        </a:p>
        <a:p>
          <a:endParaRPr lang="en-MY" sz="1100" kern="1200"/>
        </a:p>
      </xdr:txBody>
    </xdr:sp>
    <xdr:clientData/>
  </xdr:twoCellAnchor>
  <xdr:twoCellAnchor editAs="oneCell">
    <xdr:from>
      <xdr:col>1</xdr:col>
      <xdr:colOff>72885</xdr:colOff>
      <xdr:row>1</xdr:row>
      <xdr:rowOff>82823</xdr:rowOff>
    </xdr:from>
    <xdr:to>
      <xdr:col>3</xdr:col>
      <xdr:colOff>252197</xdr:colOff>
      <xdr:row>6</xdr:row>
      <xdr:rowOff>33129</xdr:rowOff>
    </xdr:to>
    <xdr:pic>
      <xdr:nvPicPr>
        <xdr:cNvPr id="6" name="Picture 5" descr="NXP_logo_RGB_web_no p_small">
          <a:extLst>
            <a:ext uri="{FF2B5EF4-FFF2-40B4-BE49-F238E27FC236}">
              <a16:creationId xmlns:a16="http://schemas.microsoft.com/office/drawing/2014/main" id="{5ED37764-8E5D-432B-B1CF-B21BAC890330}"/>
            </a:ext>
          </a:extLst>
        </xdr:cNvPr>
        <xdr:cNvPicPr>
          <a:picLocks noChangeAspect="1"/>
        </xdr:cNvPicPr>
      </xdr:nvPicPr>
      <xdr:blipFill>
        <a:blip xmlns:r="http://schemas.openxmlformats.org/officeDocument/2006/relationships" r:embed="rId1" cstate="print"/>
        <a:srcRect/>
        <a:stretch>
          <a:fillRect/>
        </a:stretch>
      </xdr:blipFill>
      <xdr:spPr bwMode="auto">
        <a:xfrm>
          <a:off x="304798" y="248475"/>
          <a:ext cx="1690060" cy="77856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customProperty" Target="../customProperty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2:F48"/>
  <sheetViews>
    <sheetView showGridLines="0" zoomScale="115" zoomScaleNormal="115" workbookViewId="0">
      <selection activeCell="J7" sqref="J7"/>
    </sheetView>
  </sheetViews>
  <sheetFormatPr defaultColWidth="9.1328125" defaultRowHeight="13.15" x14ac:dyDescent="0.4"/>
  <cols>
    <col min="1" max="1" width="3.265625" customWidth="1"/>
    <col min="2" max="2" width="21.1328125" style="15" customWidth="1"/>
    <col min="3" max="3" width="0.86328125" customWidth="1"/>
    <col min="4" max="4" width="53.73046875" customWidth="1"/>
    <col min="5" max="5" width="0.73046875" customWidth="1"/>
    <col min="6" max="6" width="53.73046875" customWidth="1"/>
  </cols>
  <sheetData>
    <row r="32" spans="2:6" ht="20.25" x14ac:dyDescent="0.35">
      <c r="B32" s="391" t="s">
        <v>0</v>
      </c>
      <c r="C32" s="392"/>
      <c r="D32" s="392" t="s">
        <v>1</v>
      </c>
      <c r="E32" s="392"/>
      <c r="F32" s="393" t="s">
        <v>2</v>
      </c>
    </row>
    <row r="33" spans="2:6" ht="81" x14ac:dyDescent="0.35">
      <c r="B33" s="394" t="s">
        <v>3</v>
      </c>
      <c r="C33" s="395"/>
      <c r="D33" s="395" t="s">
        <v>4</v>
      </c>
      <c r="E33" s="395"/>
      <c r="F33" s="396" t="s">
        <v>5</v>
      </c>
    </row>
    <row r="34" spans="2:6" ht="60.75" x14ac:dyDescent="0.35">
      <c r="B34" s="397" t="s">
        <v>6</v>
      </c>
      <c r="C34" s="398"/>
      <c r="D34" s="398" t="s">
        <v>7</v>
      </c>
      <c r="E34" s="398"/>
      <c r="F34" s="399" t="s">
        <v>8</v>
      </c>
    </row>
    <row r="35" spans="2:6" ht="81" x14ac:dyDescent="0.35">
      <c r="B35" s="400" t="s">
        <v>9</v>
      </c>
      <c r="C35" s="395"/>
      <c r="D35" s="395" t="s">
        <v>10</v>
      </c>
      <c r="E35" s="395"/>
      <c r="F35" s="396" t="s">
        <v>11</v>
      </c>
    </row>
    <row r="36" spans="2:6" ht="60.75" x14ac:dyDescent="0.35">
      <c r="B36" s="409" t="s">
        <v>12</v>
      </c>
      <c r="C36" s="402"/>
      <c r="D36" s="402" t="s">
        <v>13</v>
      </c>
      <c r="E36" s="402"/>
      <c r="F36" s="405" t="s">
        <v>14</v>
      </c>
    </row>
    <row r="37" spans="2:6" ht="70.900000000000006" x14ac:dyDescent="0.35">
      <c r="B37" s="394" t="s">
        <v>15</v>
      </c>
      <c r="C37" s="395"/>
      <c r="D37" s="395" t="s">
        <v>16</v>
      </c>
      <c r="E37" s="395"/>
      <c r="F37" s="396" t="s">
        <v>17</v>
      </c>
    </row>
    <row r="38" spans="2:6" ht="12.75" x14ac:dyDescent="0.35">
      <c r="B38" s="410" t="s">
        <v>18</v>
      </c>
      <c r="C38" s="411"/>
      <c r="D38" s="411" t="s">
        <v>19</v>
      </c>
      <c r="E38" s="411"/>
      <c r="F38" s="578" t="s">
        <v>20</v>
      </c>
    </row>
    <row r="39" spans="2:6" ht="12.75" x14ac:dyDescent="0.35">
      <c r="B39" s="412"/>
      <c r="C39" s="413"/>
      <c r="D39" s="413"/>
      <c r="E39" s="413"/>
      <c r="F39" s="579"/>
    </row>
    <row r="40" spans="2:6" ht="20.25" x14ac:dyDescent="0.35">
      <c r="B40" s="412" t="s">
        <v>21</v>
      </c>
      <c r="C40" s="413"/>
      <c r="D40" s="413" t="s">
        <v>22</v>
      </c>
      <c r="E40" s="413"/>
      <c r="F40" s="579"/>
    </row>
    <row r="41" spans="2:6" ht="12.75" x14ac:dyDescent="0.35">
      <c r="B41" s="412"/>
      <c r="C41" s="413"/>
      <c r="D41" s="413"/>
      <c r="E41" s="413"/>
      <c r="F41" s="579"/>
    </row>
    <row r="42" spans="2:6" ht="30.4" x14ac:dyDescent="0.35">
      <c r="B42" s="414" t="s">
        <v>23</v>
      </c>
      <c r="C42" s="415"/>
      <c r="D42" s="415" t="s">
        <v>24</v>
      </c>
      <c r="E42" s="415"/>
      <c r="F42" s="580"/>
    </row>
    <row r="43" spans="2:6" ht="101.25" x14ac:dyDescent="0.35">
      <c r="B43" s="394" t="s">
        <v>25</v>
      </c>
      <c r="C43" s="395"/>
      <c r="D43" s="406" t="s">
        <v>26</v>
      </c>
      <c r="E43" s="407"/>
      <c r="F43" s="396" t="s">
        <v>27</v>
      </c>
    </row>
    <row r="44" spans="2:6" ht="81" x14ac:dyDescent="0.35">
      <c r="B44" s="401" t="s">
        <v>28</v>
      </c>
      <c r="C44" s="402"/>
      <c r="D44" s="403" t="s">
        <v>29</v>
      </c>
      <c r="E44" s="404"/>
      <c r="F44" s="405" t="s">
        <v>30</v>
      </c>
    </row>
    <row r="45" spans="2:6" ht="111.4" x14ac:dyDescent="0.35">
      <c r="B45" s="394" t="s">
        <v>31</v>
      </c>
      <c r="C45" s="395"/>
      <c r="D45" s="408" t="s">
        <v>32</v>
      </c>
      <c r="E45" s="407"/>
      <c r="F45" s="416" t="s">
        <v>33</v>
      </c>
    </row>
    <row r="46" spans="2:6" ht="70.900000000000006" x14ac:dyDescent="0.35">
      <c r="B46" s="397" t="s">
        <v>34</v>
      </c>
      <c r="C46" s="398"/>
      <c r="D46" s="424" t="s">
        <v>35</v>
      </c>
      <c r="E46" s="425"/>
      <c r="F46" s="399" t="s">
        <v>36</v>
      </c>
    </row>
    <row r="47" spans="2:6" ht="111.4" x14ac:dyDescent="0.35">
      <c r="B47" s="394" t="s">
        <v>37</v>
      </c>
      <c r="C47" s="395"/>
      <c r="D47" s="408" t="s">
        <v>38</v>
      </c>
      <c r="E47" s="407"/>
      <c r="F47" s="416" t="s">
        <v>39</v>
      </c>
    </row>
    <row r="48" spans="2:6" ht="40.5" x14ac:dyDescent="0.35">
      <c r="B48" s="401" t="s">
        <v>40</v>
      </c>
      <c r="C48" s="402"/>
      <c r="D48" s="402" t="s">
        <v>41</v>
      </c>
      <c r="E48" s="402"/>
      <c r="F48" s="405" t="s">
        <v>42</v>
      </c>
    </row>
  </sheetData>
  <customSheetViews>
    <customSheetView guid="{8A3FF670-BD86-44B8-80D6-F16ECD9AAB7E}" scale="115" showPageBreaks="1" printArea="1">
      <selection sqref="A1:IV65536"/>
      <pageMargins left="0" right="0" top="0" bottom="0" header="0" footer="0"/>
      <pageSetup scale="90" orientation="portrait" verticalDpi="1200" r:id="rId1"/>
    </customSheetView>
    <customSheetView guid="{3AEE86E9-9A50-484E-B189-6F484AA443A0}" scale="115" showPageBreaks="1" printArea="1" topLeftCell="A46">
      <selection sqref="A1:IV65536"/>
      <pageMargins left="0" right="0" top="0" bottom="0" header="0" footer="0"/>
      <pageSetup scale="90" orientation="portrait" verticalDpi="1200" r:id="rId2"/>
    </customSheetView>
  </customSheetViews>
  <mergeCells count="1">
    <mergeCell ref="F38:F42"/>
  </mergeCells>
  <pageMargins left="0.2" right="0.2" top="0.5" bottom="0.5" header="0" footer="0"/>
  <pageSetup scale="89" orientation="portrait" verticalDpi="1200" r:id="rId3"/>
  <customProperties>
    <customPr name="_pios_id" r:id="rId4"/>
  </customPropertie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Q62"/>
  <sheetViews>
    <sheetView zoomScale="60" zoomScaleNormal="60" workbookViewId="0">
      <pane xSplit="1" ySplit="4" topLeftCell="V24" activePane="bottomRight" state="frozen"/>
      <selection pane="topRight" activeCell="N50" sqref="N50"/>
      <selection pane="bottomLeft" activeCell="N50" sqref="N50"/>
      <selection pane="bottomRight" activeCell="AR48" sqref="AR48"/>
    </sheetView>
  </sheetViews>
  <sheetFormatPr defaultRowHeight="12.75" outlineLevelCol="1" x14ac:dyDescent="0.35"/>
  <cols>
    <col min="1" max="1" width="45.3984375" customWidth="1"/>
    <col min="2" max="21" width="9.1328125" hidden="1" customWidth="1" outlineLevel="1"/>
    <col min="22" max="33" width="9.1328125" customWidth="1" outlineLevel="1"/>
    <col min="34" max="34" width="8.3984375" customWidth="1"/>
    <col min="35" max="38" width="9.1328125" customWidth="1"/>
    <col min="39" max="42" width="8.73046875" customWidth="1"/>
    <col min="43" max="43" width="12" bestFit="1" customWidth="1"/>
  </cols>
  <sheetData>
    <row r="1" spans="1:43" ht="13.9" x14ac:dyDescent="0.4">
      <c r="A1" s="1" t="s">
        <v>43</v>
      </c>
    </row>
    <row r="2" spans="1:43" ht="14.25" thickBot="1" x14ac:dyDescent="0.45">
      <c r="A2" s="1" t="s">
        <v>44</v>
      </c>
      <c r="AK2" s="338"/>
      <c r="AL2" s="338"/>
      <c r="AP2" t="s">
        <v>45</v>
      </c>
    </row>
    <row r="3" spans="1:43" s="2" customFormat="1" ht="14.25" customHeight="1" thickBot="1" x14ac:dyDescent="0.45">
      <c r="A3" s="8" t="s">
        <v>46</v>
      </c>
      <c r="B3" s="159" t="s">
        <v>47</v>
      </c>
      <c r="C3" s="160" t="s">
        <v>48</v>
      </c>
      <c r="D3" s="160" t="s">
        <v>49</v>
      </c>
      <c r="E3" s="73" t="s">
        <v>50</v>
      </c>
      <c r="F3" s="159" t="s">
        <v>51</v>
      </c>
      <c r="G3" s="160" t="s">
        <v>52</v>
      </c>
      <c r="H3" s="160" t="s">
        <v>53</v>
      </c>
      <c r="I3" s="73" t="s">
        <v>54</v>
      </c>
      <c r="J3" s="159" t="s">
        <v>55</v>
      </c>
      <c r="K3" s="160" t="s">
        <v>56</v>
      </c>
      <c r="L3" s="160" t="s">
        <v>57</v>
      </c>
      <c r="M3" s="73" t="s">
        <v>58</v>
      </c>
      <c r="N3" s="159" t="s">
        <v>59</v>
      </c>
      <c r="O3" s="160" t="s">
        <v>60</v>
      </c>
      <c r="P3" s="160" t="s">
        <v>61</v>
      </c>
      <c r="Q3" s="73" t="s">
        <v>62</v>
      </c>
      <c r="R3" s="159" t="s">
        <v>63</v>
      </c>
      <c r="S3" s="160" t="s">
        <v>64</v>
      </c>
      <c r="T3" s="160" t="s">
        <v>65</v>
      </c>
      <c r="U3" s="73" t="s">
        <v>66</v>
      </c>
      <c r="V3" s="159" t="s">
        <v>67</v>
      </c>
      <c r="W3" s="160" t="s">
        <v>68</v>
      </c>
      <c r="X3" s="160" t="s">
        <v>69</v>
      </c>
      <c r="Y3" s="73" t="s">
        <v>70</v>
      </c>
      <c r="Z3" s="159" t="s">
        <v>71</v>
      </c>
      <c r="AA3" s="160" t="s">
        <v>72</v>
      </c>
      <c r="AB3" s="160" t="s">
        <v>73</v>
      </c>
      <c r="AC3" s="73" t="s">
        <v>74</v>
      </c>
      <c r="AD3" s="159" t="s">
        <v>75</v>
      </c>
      <c r="AE3" s="160" t="s">
        <v>76</v>
      </c>
      <c r="AF3" s="160" t="s">
        <v>77</v>
      </c>
      <c r="AG3" s="73" t="s">
        <v>78</v>
      </c>
      <c r="AI3" s="181">
        <v>2018</v>
      </c>
      <c r="AJ3" s="181">
        <v>2019</v>
      </c>
      <c r="AK3" s="181">
        <v>2020</v>
      </c>
      <c r="AL3" s="181">
        <v>2021</v>
      </c>
      <c r="AM3" s="181">
        <v>2022</v>
      </c>
      <c r="AN3" s="181">
        <v>2023</v>
      </c>
      <c r="AO3" s="181">
        <v>2024</v>
      </c>
      <c r="AP3" s="181">
        <v>2025</v>
      </c>
    </row>
    <row r="4" spans="1:43" ht="14.25" customHeight="1" x14ac:dyDescent="0.35">
      <c r="A4" s="4"/>
      <c r="B4" s="58"/>
      <c r="C4" s="199"/>
      <c r="D4" s="19"/>
      <c r="E4" s="57"/>
      <c r="F4" s="58"/>
      <c r="G4" s="199"/>
      <c r="H4" s="19"/>
      <c r="I4" s="57"/>
      <c r="J4" s="58"/>
      <c r="K4" s="199"/>
      <c r="L4" s="19"/>
      <c r="M4" s="57"/>
      <c r="N4" s="58"/>
      <c r="O4" s="199"/>
      <c r="P4" s="19"/>
      <c r="Q4" s="57"/>
      <c r="R4" s="58"/>
      <c r="S4" s="199"/>
      <c r="T4" s="19"/>
      <c r="U4" s="57"/>
      <c r="V4" s="57"/>
      <c r="W4" s="57"/>
      <c r="X4" s="57"/>
      <c r="Y4" s="57"/>
      <c r="Z4" s="57"/>
      <c r="AA4" s="57"/>
      <c r="AB4" s="57"/>
      <c r="AC4" s="57"/>
      <c r="AD4" s="58"/>
      <c r="AE4" s="57"/>
      <c r="AF4" s="57"/>
      <c r="AG4" s="57"/>
      <c r="AI4" s="3"/>
      <c r="AJ4" s="3"/>
      <c r="AK4" s="3"/>
      <c r="AL4" s="3"/>
      <c r="AM4" s="3"/>
      <c r="AN4" s="3"/>
      <c r="AO4" s="3"/>
      <c r="AP4" s="3"/>
    </row>
    <row r="5" spans="1:43" ht="13.7" customHeight="1" x14ac:dyDescent="0.35">
      <c r="A5" s="6" t="s">
        <v>79</v>
      </c>
      <c r="B5" s="81">
        <v>2269</v>
      </c>
      <c r="C5" s="200">
        <v>2290</v>
      </c>
      <c r="D5" s="48">
        <v>2445</v>
      </c>
      <c r="E5" s="92">
        <v>2403</v>
      </c>
      <c r="F5" s="81">
        <v>2094</v>
      </c>
      <c r="G5" s="200">
        <v>2217</v>
      </c>
      <c r="H5" s="48">
        <v>2265</v>
      </c>
      <c r="I5" s="92">
        <v>2301</v>
      </c>
      <c r="J5" s="81">
        <v>2021</v>
      </c>
      <c r="K5" s="200">
        <v>1817</v>
      </c>
      <c r="L5" s="48">
        <v>2267</v>
      </c>
      <c r="M5" s="92">
        <v>2507</v>
      </c>
      <c r="N5" s="81">
        <v>2567</v>
      </c>
      <c r="O5" s="200">
        <v>2596</v>
      </c>
      <c r="P5" s="48">
        <v>2861</v>
      </c>
      <c r="Q5" s="92">
        <v>3039</v>
      </c>
      <c r="R5" s="81">
        <v>3136</v>
      </c>
      <c r="S5" s="200">
        <v>3312</v>
      </c>
      <c r="T5" s="48">
        <v>3445</v>
      </c>
      <c r="U5" s="92">
        <v>3312</v>
      </c>
      <c r="V5" s="92">
        <v>3121</v>
      </c>
      <c r="W5" s="92">
        <v>3299</v>
      </c>
      <c r="X5" s="92">
        <v>3434</v>
      </c>
      <c r="Y5" s="92">
        <v>3422</v>
      </c>
      <c r="Z5" s="92">
        <v>3126</v>
      </c>
      <c r="AA5" s="92">
        <v>3127</v>
      </c>
      <c r="AB5" s="92">
        <v>3250</v>
      </c>
      <c r="AC5" s="92">
        <v>3111</v>
      </c>
      <c r="AD5" s="81">
        <v>2835</v>
      </c>
      <c r="AE5" s="200">
        <v>2926</v>
      </c>
      <c r="AF5" s="92">
        <v>3173</v>
      </c>
      <c r="AG5" s="92">
        <v>3335</v>
      </c>
      <c r="AH5" s="43"/>
      <c r="AI5" s="50">
        <v>9407</v>
      </c>
      <c r="AJ5" s="50">
        <f>SUM(F5:I5)</f>
        <v>8877</v>
      </c>
      <c r="AK5" s="50">
        <f>SUM(J5:M5)</f>
        <v>8612</v>
      </c>
      <c r="AL5" s="50">
        <f>N5+O5+P5+Q5</f>
        <v>11063</v>
      </c>
      <c r="AM5" s="50">
        <f>SUM(R5:U5)</f>
        <v>13205</v>
      </c>
      <c r="AN5" s="50">
        <v>13276</v>
      </c>
      <c r="AO5" s="50">
        <v>12614</v>
      </c>
      <c r="AP5" s="50">
        <f>SUM(AD5:AG5)</f>
        <v>12269</v>
      </c>
    </row>
    <row r="6" spans="1:43" ht="13.7" customHeight="1" x14ac:dyDescent="0.35">
      <c r="A6" s="7" t="s">
        <v>80</v>
      </c>
      <c r="B6" s="82">
        <v>-1097</v>
      </c>
      <c r="C6" s="201">
        <v>-1110</v>
      </c>
      <c r="D6" s="37">
        <v>-1189</v>
      </c>
      <c r="E6" s="97">
        <v>-1160</v>
      </c>
      <c r="F6" s="82">
        <v>-1022</v>
      </c>
      <c r="G6" s="201">
        <v>-1066</v>
      </c>
      <c r="H6" s="37">
        <v>-1079</v>
      </c>
      <c r="I6" s="97">
        <v>-1092</v>
      </c>
      <c r="J6" s="82">
        <v>-1024</v>
      </c>
      <c r="K6" s="201">
        <v>-957</v>
      </c>
      <c r="L6" s="37">
        <v>-1177</v>
      </c>
      <c r="M6" s="97">
        <v>-1219</v>
      </c>
      <c r="N6" s="82">
        <v>-1212</v>
      </c>
      <c r="O6" s="201">
        <v>-1174</v>
      </c>
      <c r="P6" s="37">
        <v>-1278</v>
      </c>
      <c r="Q6" s="97">
        <v>-1332</v>
      </c>
      <c r="R6" s="82">
        <v>-1359</v>
      </c>
      <c r="S6" s="201">
        <v>-1430</v>
      </c>
      <c r="T6" s="37">
        <v>-1478</v>
      </c>
      <c r="U6" s="97">
        <v>-1421</v>
      </c>
      <c r="V6" s="97">
        <v>-1351</v>
      </c>
      <c r="W6" s="97">
        <v>-1418</v>
      </c>
      <c r="X6" s="97">
        <v>-1469</v>
      </c>
      <c r="Y6" s="97">
        <v>-1485</v>
      </c>
      <c r="Z6" s="97">
        <v>-1343</v>
      </c>
      <c r="AA6" s="97">
        <v>-1335</v>
      </c>
      <c r="AB6" s="97">
        <v>-1384</v>
      </c>
      <c r="AC6" s="97">
        <v>-1433</v>
      </c>
      <c r="AD6" s="82">
        <v>-1275</v>
      </c>
      <c r="AE6" s="201">
        <v>-1364</v>
      </c>
      <c r="AF6" s="97">
        <v>-1386</v>
      </c>
      <c r="AG6" s="97">
        <v>-1528</v>
      </c>
      <c r="AH6" s="43"/>
      <c r="AI6" s="36">
        <v>-4556</v>
      </c>
      <c r="AJ6" s="36">
        <f>SUM(F6:I6)</f>
        <v>-4259</v>
      </c>
      <c r="AK6" s="36">
        <f>SUM(J6:M6)</f>
        <v>-4377</v>
      </c>
      <c r="AL6" s="36">
        <f>N6+O6+P6+Q6</f>
        <v>-4996</v>
      </c>
      <c r="AM6" s="36">
        <f>SUM(R6:U6)</f>
        <v>-5688</v>
      </c>
      <c r="AN6" s="36">
        <v>-5723</v>
      </c>
      <c r="AO6" s="36">
        <v>-5495</v>
      </c>
      <c r="AP6" s="36">
        <f>SUM(AD6:AG6)</f>
        <v>-5553</v>
      </c>
      <c r="AQ6" s="43"/>
    </row>
    <row r="7" spans="1:43" ht="10.15" customHeight="1" x14ac:dyDescent="0.35">
      <c r="A7" s="7"/>
      <c r="B7" s="83"/>
      <c r="C7" s="91"/>
      <c r="D7" s="34"/>
      <c r="E7" s="90"/>
      <c r="F7" s="83"/>
      <c r="G7" s="91"/>
      <c r="H7" s="34"/>
      <c r="I7" s="90"/>
      <c r="J7" s="83"/>
      <c r="K7" s="91"/>
      <c r="L7" s="34"/>
      <c r="M7" s="90"/>
      <c r="N7" s="83"/>
      <c r="O7" s="91"/>
      <c r="P7" s="34"/>
      <c r="Q7" s="90"/>
      <c r="R7" s="83"/>
      <c r="S7" s="91"/>
      <c r="T7" s="34"/>
      <c r="U7" s="90"/>
      <c r="V7" s="90"/>
      <c r="W7" s="90"/>
      <c r="X7" s="90"/>
      <c r="Y7" s="90"/>
      <c r="Z7" s="90"/>
      <c r="AA7" s="90"/>
      <c r="AB7" s="90"/>
      <c r="AC7" s="90"/>
      <c r="AD7" s="83"/>
      <c r="AE7" s="91"/>
      <c r="AF7" s="90"/>
      <c r="AG7" s="90"/>
      <c r="AH7" s="43"/>
      <c r="AI7" s="33"/>
      <c r="AJ7" s="33"/>
      <c r="AK7" s="33"/>
      <c r="AL7" s="33"/>
      <c r="AM7" s="33"/>
      <c r="AN7" s="33"/>
      <c r="AO7" s="33"/>
      <c r="AP7" s="33"/>
    </row>
    <row r="8" spans="1:43" ht="13.7" customHeight="1" x14ac:dyDescent="0.35">
      <c r="A8" s="6" t="s">
        <v>81</v>
      </c>
      <c r="B8" s="81">
        <v>1172</v>
      </c>
      <c r="C8" s="200">
        <v>1180</v>
      </c>
      <c r="D8" s="48">
        <v>1256</v>
      </c>
      <c r="E8" s="92">
        <v>1243</v>
      </c>
      <c r="F8" s="81">
        <v>1072</v>
      </c>
      <c r="G8" s="200">
        <v>1151</v>
      </c>
      <c r="H8" s="48">
        <v>1186</v>
      </c>
      <c r="I8" s="92">
        <v>1209</v>
      </c>
      <c r="J8" s="81">
        <v>997</v>
      </c>
      <c r="K8" s="200">
        <v>860</v>
      </c>
      <c r="L8" s="48">
        <v>1090</v>
      </c>
      <c r="M8" s="92">
        <v>1288</v>
      </c>
      <c r="N8" s="81">
        <v>1355</v>
      </c>
      <c r="O8" s="200">
        <v>1422</v>
      </c>
      <c r="P8" s="48">
        <v>1583</v>
      </c>
      <c r="Q8" s="92">
        <v>1707</v>
      </c>
      <c r="R8" s="81">
        <v>1777</v>
      </c>
      <c r="S8" s="200">
        <v>1882</v>
      </c>
      <c r="T8" s="48">
        <v>1967</v>
      </c>
      <c r="U8" s="92">
        <v>1891</v>
      </c>
      <c r="V8" s="92">
        <v>1770</v>
      </c>
      <c r="W8" s="92">
        <v>1881</v>
      </c>
      <c r="X8" s="92">
        <v>1965</v>
      </c>
      <c r="Y8" s="92">
        <v>1937</v>
      </c>
      <c r="Z8" s="92">
        <v>1783</v>
      </c>
      <c r="AA8" s="92">
        <v>1792</v>
      </c>
      <c r="AB8" s="92">
        <v>1866</v>
      </c>
      <c r="AC8" s="92">
        <v>1678</v>
      </c>
      <c r="AD8" s="81">
        <f>SUM(AD5:AD6)</f>
        <v>1560</v>
      </c>
      <c r="AE8" s="200">
        <f>SUM(AE5:AE6)</f>
        <v>1562</v>
      </c>
      <c r="AF8" s="92">
        <v>1787</v>
      </c>
      <c r="AG8" s="92">
        <v>1807</v>
      </c>
      <c r="AH8" s="43"/>
      <c r="AI8" s="50">
        <v>4851</v>
      </c>
      <c r="AJ8" s="50">
        <f>SUM(F8:I8)</f>
        <v>4618</v>
      </c>
      <c r="AK8" s="50">
        <f>SUM(J8:M8)</f>
        <v>4235</v>
      </c>
      <c r="AL8" s="50">
        <f>N8+O8+P8+Q8</f>
        <v>6067</v>
      </c>
      <c r="AM8" s="50">
        <f>SUM(R8:U8)</f>
        <v>7517</v>
      </c>
      <c r="AN8" s="50">
        <v>7553</v>
      </c>
      <c r="AO8" s="50">
        <v>7119</v>
      </c>
      <c r="AP8" s="50">
        <f>SUM(AD8:AG8)</f>
        <v>6716</v>
      </c>
    </row>
    <row r="9" spans="1:43" ht="10.15" customHeight="1" x14ac:dyDescent="0.35">
      <c r="A9" s="7"/>
      <c r="B9" s="83"/>
      <c r="C9" s="91"/>
      <c r="D9" s="34"/>
      <c r="E9" s="90"/>
      <c r="F9" s="83"/>
      <c r="G9" s="91"/>
      <c r="H9" s="34"/>
      <c r="I9" s="90"/>
      <c r="J9" s="83"/>
      <c r="K9" s="91"/>
      <c r="L9" s="34"/>
      <c r="M9" s="90"/>
      <c r="N9" s="83"/>
      <c r="O9" s="91"/>
      <c r="P9" s="34"/>
      <c r="Q9" s="90"/>
      <c r="R9" s="83"/>
      <c r="S9" s="91"/>
      <c r="T9" s="34"/>
      <c r="U9" s="90"/>
      <c r="V9" s="90"/>
      <c r="W9" s="90"/>
      <c r="X9" s="90"/>
      <c r="Y9" s="90"/>
      <c r="Z9" s="90"/>
      <c r="AA9" s="90"/>
      <c r="AB9" s="90"/>
      <c r="AC9" s="90"/>
      <c r="AD9" s="83"/>
      <c r="AE9" s="91"/>
      <c r="AF9" s="90"/>
      <c r="AG9" s="90"/>
      <c r="AH9" s="43"/>
      <c r="AI9" s="33"/>
      <c r="AJ9" s="33"/>
      <c r="AK9" s="33"/>
      <c r="AL9" s="33"/>
      <c r="AM9" s="33"/>
      <c r="AN9" s="33"/>
      <c r="AO9" s="33"/>
      <c r="AP9" s="33"/>
    </row>
    <row r="10" spans="1:43" ht="13.7" customHeight="1" x14ac:dyDescent="0.35">
      <c r="A10" s="7" t="s">
        <v>82</v>
      </c>
      <c r="B10" s="83">
        <v>-426</v>
      </c>
      <c r="C10" s="91">
        <v>-438</v>
      </c>
      <c r="D10" s="34">
        <v>-433</v>
      </c>
      <c r="E10" s="90">
        <v>-403</v>
      </c>
      <c r="F10" s="83">
        <v>-415</v>
      </c>
      <c r="G10" s="91">
        <v>-408</v>
      </c>
      <c r="H10" s="34">
        <v>-396</v>
      </c>
      <c r="I10" s="90">
        <v>-424</v>
      </c>
      <c r="J10" s="83">
        <v>-425</v>
      </c>
      <c r="K10" s="91">
        <v>-402</v>
      </c>
      <c r="L10" s="34">
        <v>-438</v>
      </c>
      <c r="M10" s="90">
        <v>-460</v>
      </c>
      <c r="N10" s="83">
        <v>-461</v>
      </c>
      <c r="O10" s="91">
        <v>-476</v>
      </c>
      <c r="P10" s="34">
        <v>-492</v>
      </c>
      <c r="Q10" s="90">
        <v>-507</v>
      </c>
      <c r="R10" s="83">
        <v>-518</v>
      </c>
      <c r="S10" s="91">
        <v>-542</v>
      </c>
      <c r="T10" s="34">
        <v>-548</v>
      </c>
      <c r="U10" s="90">
        <v>-540</v>
      </c>
      <c r="V10" s="90">
        <v>-577</v>
      </c>
      <c r="W10" s="90">
        <v>-589</v>
      </c>
      <c r="X10" s="90">
        <v>-601</v>
      </c>
      <c r="Y10" s="90">
        <v>-651</v>
      </c>
      <c r="Z10" s="90">
        <v>-564</v>
      </c>
      <c r="AA10" s="90">
        <v>-594</v>
      </c>
      <c r="AB10" s="90">
        <v>-577</v>
      </c>
      <c r="AC10" s="90">
        <v>-612</v>
      </c>
      <c r="AD10" s="83">
        <v>-547</v>
      </c>
      <c r="AE10" s="91">
        <v>-573</v>
      </c>
      <c r="AF10" s="90">
        <v>-575</v>
      </c>
      <c r="AG10" s="90">
        <v>-665</v>
      </c>
      <c r="AH10" s="43"/>
      <c r="AI10" s="33">
        <v>-1700</v>
      </c>
      <c r="AJ10" s="33">
        <f>SUM(F10:I10)</f>
        <v>-1643</v>
      </c>
      <c r="AK10" s="33">
        <f>SUM(J10:M10)</f>
        <v>-1725</v>
      </c>
      <c r="AL10" s="33">
        <f>N10+O10+P10+Q10</f>
        <v>-1936</v>
      </c>
      <c r="AM10" s="33">
        <f>SUM(R10:U10)</f>
        <v>-2148</v>
      </c>
      <c r="AN10" s="33">
        <v>-2418</v>
      </c>
      <c r="AO10" s="33">
        <v>-2347</v>
      </c>
      <c r="AP10" s="33">
        <f t="shared" ref="AP10:AP13" si="0">SUM(AD10:AG10)</f>
        <v>-2360</v>
      </c>
    </row>
    <row r="11" spans="1:43" ht="13.7" customHeight="1" x14ac:dyDescent="0.35">
      <c r="A11" s="7" t="s">
        <v>83</v>
      </c>
      <c r="B11" s="83">
        <v>-248</v>
      </c>
      <c r="C11" s="91">
        <v>-242</v>
      </c>
      <c r="D11" s="34">
        <v>-252</v>
      </c>
      <c r="E11" s="90">
        <v>-251</v>
      </c>
      <c r="F11" s="83">
        <v>-248</v>
      </c>
      <c r="G11" s="91">
        <v>-230</v>
      </c>
      <c r="H11" s="34">
        <v>-221</v>
      </c>
      <c r="I11" s="90">
        <v>-225</v>
      </c>
      <c r="J11" s="83">
        <v>-233</v>
      </c>
      <c r="K11" s="91">
        <v>-222</v>
      </c>
      <c r="L11" s="34">
        <v>-203</v>
      </c>
      <c r="M11" s="90">
        <v>-221</v>
      </c>
      <c r="N11" s="83">
        <v>-222</v>
      </c>
      <c r="O11" s="91">
        <v>-234</v>
      </c>
      <c r="P11" s="34">
        <v>-243</v>
      </c>
      <c r="Q11" s="90">
        <v>-257</v>
      </c>
      <c r="R11" s="83">
        <v>-251</v>
      </c>
      <c r="S11" s="91">
        <v>-265</v>
      </c>
      <c r="T11" s="34">
        <v>-289</v>
      </c>
      <c r="U11" s="90">
        <v>-261</v>
      </c>
      <c r="V11" s="90">
        <v>-280</v>
      </c>
      <c r="W11" s="90">
        <v>-274</v>
      </c>
      <c r="X11" s="90">
        <v>-294</v>
      </c>
      <c r="Y11" s="90">
        <v>-311</v>
      </c>
      <c r="Z11" s="90">
        <v>-306</v>
      </c>
      <c r="AA11" s="90">
        <v>-270</v>
      </c>
      <c r="AB11" s="90">
        <v>-265</v>
      </c>
      <c r="AC11" s="90">
        <v>-323</v>
      </c>
      <c r="AD11" s="83">
        <v>-281</v>
      </c>
      <c r="AE11" s="91">
        <v>-278</v>
      </c>
      <c r="AF11" s="90">
        <v>-286</v>
      </c>
      <c r="AG11" s="90">
        <v>-359</v>
      </c>
      <c r="AH11" s="43"/>
      <c r="AI11" s="33">
        <v>-993</v>
      </c>
      <c r="AJ11" s="33">
        <f>SUM(F11:I11)</f>
        <v>-924</v>
      </c>
      <c r="AK11" s="33">
        <f>SUM(J11:M11)</f>
        <v>-879</v>
      </c>
      <c r="AL11" s="33">
        <f>N11+O11+P11+Q11</f>
        <v>-956</v>
      </c>
      <c r="AM11" s="33">
        <f>SUM(R11:U11)</f>
        <v>-1066</v>
      </c>
      <c r="AN11" s="33">
        <v>-1159</v>
      </c>
      <c r="AO11" s="33">
        <v>-1164</v>
      </c>
      <c r="AP11" s="33">
        <f t="shared" si="0"/>
        <v>-1204</v>
      </c>
    </row>
    <row r="12" spans="1:43" x14ac:dyDescent="0.35">
      <c r="A12" s="7" t="s">
        <v>84</v>
      </c>
      <c r="B12" s="84">
        <v>-360</v>
      </c>
      <c r="C12" s="202">
        <v>-363</v>
      </c>
      <c r="D12" s="69">
        <v>-362</v>
      </c>
      <c r="E12" s="98">
        <v>-364</v>
      </c>
      <c r="F12" s="84">
        <v>-357</v>
      </c>
      <c r="G12" s="202">
        <v>-355</v>
      </c>
      <c r="H12" s="69">
        <v>-358</v>
      </c>
      <c r="I12" s="98">
        <v>-365</v>
      </c>
      <c r="J12" s="84">
        <v>-381</v>
      </c>
      <c r="K12" s="202">
        <v>-380</v>
      </c>
      <c r="L12" s="69">
        <v>-418</v>
      </c>
      <c r="M12" s="98">
        <v>-148</v>
      </c>
      <c r="N12" s="84">
        <v>-180</v>
      </c>
      <c r="O12" s="202">
        <v>-139</v>
      </c>
      <c r="P12" s="69">
        <v>-137</v>
      </c>
      <c r="Q12" s="98">
        <v>-136</v>
      </c>
      <c r="R12" s="84">
        <v>-135</v>
      </c>
      <c r="S12" s="202">
        <v>-134</v>
      </c>
      <c r="T12" s="69">
        <v>-131</v>
      </c>
      <c r="U12" s="98">
        <v>-109</v>
      </c>
      <c r="V12" s="98">
        <v>-85</v>
      </c>
      <c r="W12" s="98">
        <v>-81</v>
      </c>
      <c r="X12" s="98">
        <v>-71</v>
      </c>
      <c r="Y12" s="98">
        <v>-63</v>
      </c>
      <c r="Z12" s="98">
        <v>-51</v>
      </c>
      <c r="AA12" s="98">
        <v>-28</v>
      </c>
      <c r="AB12" s="98">
        <v>-29</v>
      </c>
      <c r="AC12" s="98">
        <v>-28</v>
      </c>
      <c r="AD12" s="84">
        <v>-27</v>
      </c>
      <c r="AE12" s="202">
        <v>-25</v>
      </c>
      <c r="AF12" s="98">
        <v>-31</v>
      </c>
      <c r="AG12" s="98">
        <v>-34</v>
      </c>
      <c r="AH12" s="43"/>
      <c r="AI12" s="70">
        <v>-1449</v>
      </c>
      <c r="AJ12" s="70">
        <f>SUM(F12:I12)</f>
        <v>-1435</v>
      </c>
      <c r="AK12" s="70">
        <f>SUM(J12:M12)</f>
        <v>-1327</v>
      </c>
      <c r="AL12" s="70">
        <f>N12+O12+P12+Q12</f>
        <v>-592</v>
      </c>
      <c r="AM12" s="70">
        <f>SUM(R12:U12)</f>
        <v>-509</v>
      </c>
      <c r="AN12" s="70">
        <v>-300</v>
      </c>
      <c r="AO12" s="70">
        <v>-136</v>
      </c>
      <c r="AP12" s="70">
        <f t="shared" si="0"/>
        <v>-117</v>
      </c>
    </row>
    <row r="13" spans="1:43" ht="13.7" customHeight="1" x14ac:dyDescent="0.35">
      <c r="A13" s="7" t="s">
        <v>85</v>
      </c>
      <c r="B13" s="83">
        <v>-1034</v>
      </c>
      <c r="C13" s="91">
        <v>-1043</v>
      </c>
      <c r="D13" s="34">
        <v>-1047</v>
      </c>
      <c r="E13" s="90">
        <v>-1018</v>
      </c>
      <c r="F13" s="83">
        <v>-1020</v>
      </c>
      <c r="G13" s="91">
        <v>-993</v>
      </c>
      <c r="H13" s="34">
        <v>-975</v>
      </c>
      <c r="I13" s="90">
        <v>-1014</v>
      </c>
      <c r="J13" s="83">
        <v>-1039</v>
      </c>
      <c r="K13" s="91">
        <v>-1004</v>
      </c>
      <c r="L13" s="34">
        <v>-1059</v>
      </c>
      <c r="M13" s="90">
        <v>-829</v>
      </c>
      <c r="N13" s="83">
        <v>-863</v>
      </c>
      <c r="O13" s="91">
        <v>-849</v>
      </c>
      <c r="P13" s="34">
        <v>-872</v>
      </c>
      <c r="Q13" s="90">
        <v>-900</v>
      </c>
      <c r="R13" s="83">
        <v>-904</v>
      </c>
      <c r="S13" s="91">
        <v>-941</v>
      </c>
      <c r="T13" s="34">
        <v>-968</v>
      </c>
      <c r="U13" s="90">
        <v>-910</v>
      </c>
      <c r="V13" s="90">
        <v>-942</v>
      </c>
      <c r="W13" s="90">
        <v>-944</v>
      </c>
      <c r="X13" s="90">
        <v>-966</v>
      </c>
      <c r="Y13" s="90">
        <v>-1025</v>
      </c>
      <c r="Z13" s="90">
        <v>-921</v>
      </c>
      <c r="AA13" s="90">
        <v>-892</v>
      </c>
      <c r="AB13" s="90">
        <v>-871</v>
      </c>
      <c r="AC13" s="90">
        <v>-963</v>
      </c>
      <c r="AD13" s="83">
        <f>SUM(AD10:AD12)</f>
        <v>-855</v>
      </c>
      <c r="AE13" s="91">
        <f>SUM(AE10:AE12)</f>
        <v>-876</v>
      </c>
      <c r="AF13" s="90">
        <v>-892</v>
      </c>
      <c r="AG13" s="90">
        <v>-1058</v>
      </c>
      <c r="AH13" s="43"/>
      <c r="AI13" s="33">
        <v>-4142</v>
      </c>
      <c r="AJ13" s="33">
        <f>SUM(F13:I13)</f>
        <v>-4002</v>
      </c>
      <c r="AK13" s="33">
        <f>SUM(J13:M13)</f>
        <v>-3931</v>
      </c>
      <c r="AL13" s="33">
        <f>N13+O13+P13+Q13</f>
        <v>-3484</v>
      </c>
      <c r="AM13" s="33">
        <f>SUM(R13:U13)</f>
        <v>-3723</v>
      </c>
      <c r="AN13" s="33">
        <v>-3877</v>
      </c>
      <c r="AO13" s="33">
        <v>-3647</v>
      </c>
      <c r="AP13" s="33">
        <f t="shared" si="0"/>
        <v>-3681</v>
      </c>
    </row>
    <row r="14" spans="1:43" ht="10.15" customHeight="1" x14ac:dyDescent="0.35">
      <c r="A14" s="7"/>
      <c r="B14" s="83"/>
      <c r="C14" s="91"/>
      <c r="D14" s="34"/>
      <c r="E14" s="90"/>
      <c r="F14" s="83"/>
      <c r="G14" s="91"/>
      <c r="H14" s="34"/>
      <c r="I14" s="90"/>
      <c r="J14" s="83"/>
      <c r="K14" s="91"/>
      <c r="L14" s="34"/>
      <c r="M14" s="90"/>
      <c r="N14" s="83"/>
      <c r="O14" s="91"/>
      <c r="P14" s="34"/>
      <c r="Q14" s="90"/>
      <c r="R14" s="83"/>
      <c r="S14" s="91"/>
      <c r="T14" s="34"/>
      <c r="U14" s="90"/>
      <c r="V14" s="90"/>
      <c r="W14" s="90"/>
      <c r="X14" s="90"/>
      <c r="Y14" s="90"/>
      <c r="Z14" s="90"/>
      <c r="AA14" s="90"/>
      <c r="AB14" s="90"/>
      <c r="AC14" s="90"/>
      <c r="AD14" s="83"/>
      <c r="AE14" s="91"/>
      <c r="AF14" s="90"/>
      <c r="AG14" s="90"/>
      <c r="AH14" s="43"/>
      <c r="AI14" s="33"/>
      <c r="AJ14" s="33"/>
      <c r="AK14" s="33"/>
      <c r="AL14" s="33"/>
      <c r="AM14" s="33"/>
      <c r="AN14" s="33"/>
      <c r="AO14" s="33"/>
      <c r="AP14" s="33"/>
    </row>
    <row r="15" spans="1:43" ht="13.7" customHeight="1" x14ac:dyDescent="0.35">
      <c r="A15" s="7" t="s">
        <v>86</v>
      </c>
      <c r="B15" s="232">
        <v>0</v>
      </c>
      <c r="C15" s="266">
        <v>0</v>
      </c>
      <c r="D15" s="266">
        <v>2002</v>
      </c>
      <c r="E15" s="97">
        <v>-1</v>
      </c>
      <c r="F15" s="232">
        <v>2</v>
      </c>
      <c r="G15" s="266">
        <v>-1</v>
      </c>
      <c r="H15" s="266">
        <v>22</v>
      </c>
      <c r="I15" s="97">
        <v>2</v>
      </c>
      <c r="J15" s="232">
        <v>110</v>
      </c>
      <c r="K15" s="266">
        <v>-1</v>
      </c>
      <c r="L15" s="266">
        <v>1</v>
      </c>
      <c r="M15" s="97">
        <v>4</v>
      </c>
      <c r="N15" s="232">
        <v>0</v>
      </c>
      <c r="O15" s="266">
        <v>0</v>
      </c>
      <c r="P15" s="266">
        <v>0</v>
      </c>
      <c r="Q15" s="353">
        <v>0</v>
      </c>
      <c r="R15" s="232">
        <v>0</v>
      </c>
      <c r="S15" s="266">
        <v>2</v>
      </c>
      <c r="T15" s="266">
        <v>2</v>
      </c>
      <c r="U15" s="353">
        <v>-1</v>
      </c>
      <c r="V15" s="353">
        <v>-3</v>
      </c>
      <c r="W15" s="353">
        <v>0</v>
      </c>
      <c r="X15" s="353">
        <v>-7</v>
      </c>
      <c r="Y15" s="353">
        <v>-5</v>
      </c>
      <c r="Z15" s="353">
        <v>-6</v>
      </c>
      <c r="AA15" s="353">
        <v>-4</v>
      </c>
      <c r="AB15" s="353">
        <v>-5</v>
      </c>
      <c r="AC15" s="353">
        <v>-40</v>
      </c>
      <c r="AD15" s="232">
        <v>18</v>
      </c>
      <c r="AE15" s="266">
        <v>1</v>
      </c>
      <c r="AF15" s="353">
        <v>-2</v>
      </c>
      <c r="AG15" s="353">
        <v>-5</v>
      </c>
      <c r="AH15" s="43"/>
      <c r="AI15" s="36">
        <v>2001</v>
      </c>
      <c r="AJ15" s="36">
        <f>SUM(F15:I15)</f>
        <v>25</v>
      </c>
      <c r="AK15" s="36">
        <f>SUM(J15:M15)</f>
        <v>114</v>
      </c>
      <c r="AL15" s="351">
        <f>N15+O15+P15+Q15</f>
        <v>0</v>
      </c>
      <c r="AM15" s="351">
        <f>SUM(R15:U15)</f>
        <v>3</v>
      </c>
      <c r="AN15" s="351">
        <v>-15</v>
      </c>
      <c r="AO15" s="351">
        <v>-55</v>
      </c>
      <c r="AP15" s="351">
        <f>SUM(AD15:AG15)</f>
        <v>12</v>
      </c>
    </row>
    <row r="16" spans="1:43" ht="10.15" customHeight="1" x14ac:dyDescent="0.35">
      <c r="A16" s="7"/>
      <c r="B16" s="83"/>
      <c r="C16" s="91"/>
      <c r="D16" s="34"/>
      <c r="E16" s="90"/>
      <c r="F16" s="83"/>
      <c r="G16" s="91"/>
      <c r="H16" s="34"/>
      <c r="I16" s="90"/>
      <c r="J16" s="83"/>
      <c r="K16" s="91"/>
      <c r="L16" s="34"/>
      <c r="M16" s="90"/>
      <c r="N16" s="83"/>
      <c r="O16" s="91"/>
      <c r="P16" s="34"/>
      <c r="Q16" s="90"/>
      <c r="R16" s="83"/>
      <c r="S16" s="91"/>
      <c r="T16" s="34"/>
      <c r="U16" s="90"/>
      <c r="V16" s="90"/>
      <c r="W16" s="90"/>
      <c r="X16" s="90"/>
      <c r="Y16" s="90"/>
      <c r="Z16" s="90"/>
      <c r="AA16" s="90"/>
      <c r="AB16" s="90"/>
      <c r="AC16" s="90"/>
      <c r="AD16" s="83"/>
      <c r="AE16" s="91"/>
      <c r="AF16" s="90"/>
      <c r="AG16" s="90"/>
      <c r="AH16" s="43"/>
      <c r="AI16" s="33"/>
      <c r="AJ16" s="33"/>
      <c r="AK16" s="33"/>
      <c r="AL16" s="33"/>
      <c r="AM16" s="33"/>
      <c r="AN16" s="33"/>
      <c r="AO16" s="33"/>
      <c r="AP16" s="33"/>
    </row>
    <row r="17" spans="1:42" ht="13.7" customHeight="1" x14ac:dyDescent="0.35">
      <c r="A17" s="6" t="s">
        <v>87</v>
      </c>
      <c r="B17" s="81">
        <v>138</v>
      </c>
      <c r="C17" s="200">
        <v>137</v>
      </c>
      <c r="D17" s="48">
        <v>2211</v>
      </c>
      <c r="E17" s="92">
        <v>224</v>
      </c>
      <c r="F17" s="81">
        <v>54</v>
      </c>
      <c r="G17" s="200">
        <v>157</v>
      </c>
      <c r="H17" s="48">
        <v>233</v>
      </c>
      <c r="I17" s="92">
        <v>197</v>
      </c>
      <c r="J17" s="81">
        <v>68</v>
      </c>
      <c r="K17" s="200">
        <v>-145</v>
      </c>
      <c r="L17" s="48">
        <v>32</v>
      </c>
      <c r="M17" s="92">
        <v>463</v>
      </c>
      <c r="N17" s="81">
        <v>492</v>
      </c>
      <c r="O17" s="200">
        <v>573</v>
      </c>
      <c r="P17" s="48">
        <v>711</v>
      </c>
      <c r="Q17" s="92">
        <v>807</v>
      </c>
      <c r="R17" s="81">
        <v>873</v>
      </c>
      <c r="S17" s="200">
        <v>943</v>
      </c>
      <c r="T17" s="48">
        <v>1001</v>
      </c>
      <c r="U17" s="92">
        <v>980</v>
      </c>
      <c r="V17" s="92">
        <v>825</v>
      </c>
      <c r="W17" s="92">
        <v>937</v>
      </c>
      <c r="X17" s="92">
        <v>992</v>
      </c>
      <c r="Y17" s="92">
        <v>907</v>
      </c>
      <c r="Z17" s="92">
        <v>856</v>
      </c>
      <c r="AA17" s="92">
        <v>896</v>
      </c>
      <c r="AB17" s="92">
        <v>990</v>
      </c>
      <c r="AC17" s="92">
        <v>675</v>
      </c>
      <c r="AD17" s="81">
        <f>AD8+AD13+AD15</f>
        <v>723</v>
      </c>
      <c r="AE17" s="200">
        <f>AE8+AE13+AE15</f>
        <v>687</v>
      </c>
      <c r="AF17" s="92">
        <v>893</v>
      </c>
      <c r="AG17" s="92">
        <v>744</v>
      </c>
      <c r="AH17" s="43"/>
      <c r="AI17" s="50">
        <v>2710</v>
      </c>
      <c r="AJ17" s="50">
        <f>SUM(F17:I17)</f>
        <v>641</v>
      </c>
      <c r="AK17" s="50">
        <f>SUM(J17:M17)</f>
        <v>418</v>
      </c>
      <c r="AL17" s="50">
        <f>N17+O17+P17+Q17</f>
        <v>2583</v>
      </c>
      <c r="AM17" s="50">
        <f>SUM(R17:U17)</f>
        <v>3797</v>
      </c>
      <c r="AN17" s="50">
        <v>3661</v>
      </c>
      <c r="AO17" s="50">
        <v>3417</v>
      </c>
      <c r="AP17" s="50">
        <f>SUM(AD17:AG17)</f>
        <v>3047</v>
      </c>
    </row>
    <row r="18" spans="1:42" ht="10.15" customHeight="1" x14ac:dyDescent="0.35">
      <c r="A18" s="7"/>
      <c r="B18" s="83"/>
      <c r="C18" s="91"/>
      <c r="D18" s="34"/>
      <c r="E18" s="90"/>
      <c r="F18" s="83"/>
      <c r="G18" s="91"/>
      <c r="H18" s="34"/>
      <c r="I18" s="90"/>
      <c r="J18" s="83"/>
      <c r="K18" s="91"/>
      <c r="L18" s="34"/>
      <c r="M18" s="90"/>
      <c r="N18" s="83"/>
      <c r="O18" s="91"/>
      <c r="P18" s="34"/>
      <c r="Q18" s="90"/>
      <c r="R18" s="83"/>
      <c r="S18" s="91"/>
      <c r="T18" s="34"/>
      <c r="U18" s="90"/>
      <c r="V18" s="90"/>
      <c r="W18" s="90"/>
      <c r="X18" s="90"/>
      <c r="Y18" s="90"/>
      <c r="Z18" s="90"/>
      <c r="AA18" s="90"/>
      <c r="AB18" s="90"/>
      <c r="AC18" s="90"/>
      <c r="AD18" s="83"/>
      <c r="AE18" s="91"/>
      <c r="AF18" s="90"/>
      <c r="AG18" s="90"/>
      <c r="AH18" s="43"/>
      <c r="AI18" s="33"/>
      <c r="AJ18" s="33"/>
      <c r="AK18" s="33"/>
      <c r="AL18" s="33"/>
      <c r="AM18" s="33"/>
      <c r="AN18" s="33"/>
      <c r="AO18" s="33"/>
      <c r="AP18" s="33"/>
    </row>
    <row r="19" spans="1:42" ht="13.7" customHeight="1" x14ac:dyDescent="0.35">
      <c r="A19" s="6" t="s">
        <v>88</v>
      </c>
      <c r="B19" s="83"/>
      <c r="C19" s="91"/>
      <c r="D19" s="34"/>
      <c r="E19" s="90"/>
      <c r="F19" s="83"/>
      <c r="G19" s="91"/>
      <c r="H19" s="34"/>
      <c r="I19" s="90"/>
      <c r="J19" s="83"/>
      <c r="K19" s="91"/>
      <c r="L19" s="34"/>
      <c r="M19" s="90"/>
      <c r="N19" s="83"/>
      <c r="O19" s="91"/>
      <c r="P19" s="34"/>
      <c r="Q19" s="90"/>
      <c r="R19" s="83"/>
      <c r="S19" s="91"/>
      <c r="T19" s="34"/>
      <c r="U19" s="90"/>
      <c r="V19" s="90"/>
      <c r="W19" s="90"/>
      <c r="X19" s="90"/>
      <c r="Y19" s="90"/>
      <c r="Z19" s="90"/>
      <c r="AA19" s="90"/>
      <c r="AB19" s="90"/>
      <c r="AC19" s="90"/>
      <c r="AD19" s="83"/>
      <c r="AE19" s="91"/>
      <c r="AF19" s="90"/>
      <c r="AG19" s="90"/>
      <c r="AH19" s="43"/>
      <c r="AI19" s="33"/>
      <c r="AJ19" s="33"/>
      <c r="AK19" s="33"/>
      <c r="AL19" s="33"/>
      <c r="AM19" s="33"/>
      <c r="AN19" s="33"/>
      <c r="AO19" s="33"/>
      <c r="AP19" s="33"/>
    </row>
    <row r="20" spans="1:42" ht="13.7" customHeight="1" x14ac:dyDescent="0.35">
      <c r="A20" s="7" t="s">
        <v>89</v>
      </c>
      <c r="B20" s="83">
        <v>-62</v>
      </c>
      <c r="C20" s="91">
        <v>-49</v>
      </c>
      <c r="D20" s="34">
        <v>-48</v>
      </c>
      <c r="E20" s="90">
        <v>-66</v>
      </c>
      <c r="F20" s="83">
        <v>-74</v>
      </c>
      <c r="G20" s="91">
        <v>-77</v>
      </c>
      <c r="H20" s="34">
        <v>-81</v>
      </c>
      <c r="I20" s="90">
        <v>-81</v>
      </c>
      <c r="J20" s="83">
        <v>-78</v>
      </c>
      <c r="K20" s="91">
        <v>-90</v>
      </c>
      <c r="L20" s="34">
        <v>-97</v>
      </c>
      <c r="M20" s="90">
        <v>-84</v>
      </c>
      <c r="N20" s="83">
        <v>-86</v>
      </c>
      <c r="O20" s="91">
        <v>-89</v>
      </c>
      <c r="P20" s="34">
        <v>-95</v>
      </c>
      <c r="Q20" s="90">
        <v>-95</v>
      </c>
      <c r="R20" s="83">
        <v>-102</v>
      </c>
      <c r="S20" s="91">
        <v>-100</v>
      </c>
      <c r="T20" s="34">
        <v>-88</v>
      </c>
      <c r="U20" s="90">
        <v>-76</v>
      </c>
      <c r="V20" s="90">
        <v>-69</v>
      </c>
      <c r="W20" s="90">
        <v>-66</v>
      </c>
      <c r="X20" s="90">
        <v>-60</v>
      </c>
      <c r="Y20" s="90">
        <v>-56</v>
      </c>
      <c r="Z20" s="90">
        <v>-55</v>
      </c>
      <c r="AA20" s="90">
        <v>-58</v>
      </c>
      <c r="AB20" s="90">
        <v>-60</v>
      </c>
      <c r="AC20" s="90">
        <v>-65</v>
      </c>
      <c r="AD20" s="83">
        <v>-71</v>
      </c>
      <c r="AE20" s="91">
        <v>-76</v>
      </c>
      <c r="AF20" s="90">
        <v>-81</v>
      </c>
      <c r="AG20" s="90">
        <v>-93</v>
      </c>
      <c r="AH20" s="43"/>
      <c r="AI20" s="33">
        <v>-225</v>
      </c>
      <c r="AJ20" s="33">
        <v>-313</v>
      </c>
      <c r="AK20" s="33">
        <f>SUM(J20:M20)</f>
        <v>-349</v>
      </c>
      <c r="AL20" s="33">
        <f>N20+O20+P20+Q20</f>
        <v>-365</v>
      </c>
      <c r="AM20" s="33">
        <f>SUM(R20:U20)</f>
        <v>-366</v>
      </c>
      <c r="AN20" s="33">
        <v>-251</v>
      </c>
      <c r="AO20" s="33">
        <v>-238</v>
      </c>
      <c r="AP20" s="33">
        <f t="shared" ref="AP20:AP22" si="1">SUM(AD20:AG20)</f>
        <v>-321</v>
      </c>
    </row>
    <row r="21" spans="1:42" ht="13.7" customHeight="1" x14ac:dyDescent="0.35">
      <c r="A21" s="7" t="s">
        <v>90</v>
      </c>
      <c r="B21" s="233">
        <v>0</v>
      </c>
      <c r="C21" s="34">
        <v>-26</v>
      </c>
      <c r="D21" s="34" t="s">
        <v>91</v>
      </c>
      <c r="E21" s="256">
        <v>0</v>
      </c>
      <c r="F21" s="233">
        <v>0</v>
      </c>
      <c r="G21" s="34">
        <v>-10</v>
      </c>
      <c r="H21" s="34">
        <v>-1</v>
      </c>
      <c r="I21" s="256">
        <v>0</v>
      </c>
      <c r="J21" s="233">
        <v>0</v>
      </c>
      <c r="K21" s="30">
        <v>0</v>
      </c>
      <c r="L21" s="30">
        <v>0</v>
      </c>
      <c r="M21" s="256">
        <v>-60</v>
      </c>
      <c r="N21" s="233">
        <v>0</v>
      </c>
      <c r="O21" s="30">
        <v>0</v>
      </c>
      <c r="P21" s="30">
        <v>0</v>
      </c>
      <c r="Q21" s="256">
        <v>-22</v>
      </c>
      <c r="R21" s="233">
        <v>0</v>
      </c>
      <c r="S21" s="30">
        <v>-18</v>
      </c>
      <c r="T21" s="30">
        <v>0</v>
      </c>
      <c r="U21" s="256">
        <v>0</v>
      </c>
      <c r="V21" s="256">
        <v>0</v>
      </c>
      <c r="W21" s="256">
        <v>0</v>
      </c>
      <c r="X21" s="256">
        <v>0</v>
      </c>
      <c r="Y21" s="256">
        <v>0</v>
      </c>
      <c r="Z21" s="256">
        <v>0</v>
      </c>
      <c r="AA21" s="256">
        <v>0</v>
      </c>
      <c r="AB21" s="256">
        <v>0</v>
      </c>
      <c r="AC21" s="256">
        <v>0</v>
      </c>
      <c r="AD21" s="233">
        <v>0</v>
      </c>
      <c r="AE21" s="30">
        <v>0</v>
      </c>
      <c r="AF21" s="256">
        <v>0</v>
      </c>
      <c r="AG21" s="256">
        <v>0</v>
      </c>
      <c r="AH21" s="43"/>
      <c r="AI21" s="32">
        <v>-26</v>
      </c>
      <c r="AJ21" s="32">
        <f>SUM(F21:I21)</f>
        <v>-11</v>
      </c>
      <c r="AK21" s="32">
        <f>SUM(J21:M21)</f>
        <v>-60</v>
      </c>
      <c r="AL21" s="32">
        <f>N21+O21+P21+Q21</f>
        <v>-22</v>
      </c>
      <c r="AM21" s="32">
        <f>SUM(R21:U21)</f>
        <v>-18</v>
      </c>
      <c r="AN21" s="32">
        <v>0</v>
      </c>
      <c r="AO21" s="32">
        <v>0</v>
      </c>
      <c r="AP21" s="32">
        <f t="shared" si="1"/>
        <v>0</v>
      </c>
    </row>
    <row r="22" spans="1:42" ht="13.7" customHeight="1" x14ac:dyDescent="0.35">
      <c r="A22" s="7" t="s">
        <v>92</v>
      </c>
      <c r="B22" s="82">
        <v>-6</v>
      </c>
      <c r="C22" s="201">
        <v>4</v>
      </c>
      <c r="D22" s="37">
        <v>-71</v>
      </c>
      <c r="E22" s="97">
        <v>-11</v>
      </c>
      <c r="F22" s="82">
        <v>-9</v>
      </c>
      <c r="G22" s="201">
        <v>-2</v>
      </c>
      <c r="H22" s="37">
        <v>-3</v>
      </c>
      <c r="I22" s="97">
        <v>-12</v>
      </c>
      <c r="J22" s="232">
        <v>0</v>
      </c>
      <c r="K22" s="201">
        <v>-6</v>
      </c>
      <c r="L22" s="37">
        <v>-9</v>
      </c>
      <c r="M22" s="97">
        <v>7</v>
      </c>
      <c r="N22" s="232">
        <v>-1</v>
      </c>
      <c r="O22" s="201">
        <v>-11</v>
      </c>
      <c r="P22" s="37">
        <v>2</v>
      </c>
      <c r="Q22" s="97">
        <v>-6</v>
      </c>
      <c r="R22" s="232">
        <v>-3</v>
      </c>
      <c r="S22" s="201">
        <v>-10</v>
      </c>
      <c r="T22" s="37">
        <v>-10</v>
      </c>
      <c r="U22" s="97">
        <v>-27</v>
      </c>
      <c r="V22" s="97">
        <v>-13</v>
      </c>
      <c r="W22" s="97">
        <v>-8</v>
      </c>
      <c r="X22" s="97">
        <v>-15</v>
      </c>
      <c r="Y22" s="97">
        <v>-22</v>
      </c>
      <c r="Z22" s="97">
        <v>-15</v>
      </c>
      <c r="AA22" s="97">
        <v>-17</v>
      </c>
      <c r="AB22" s="97">
        <v>-22</v>
      </c>
      <c r="AC22" s="97">
        <v>-26</v>
      </c>
      <c r="AD22" s="232">
        <v>-21</v>
      </c>
      <c r="AE22" s="201">
        <v>-10</v>
      </c>
      <c r="AF22" s="97">
        <v>-17</v>
      </c>
      <c r="AG22" s="97">
        <v>-15</v>
      </c>
      <c r="AH22" s="43"/>
      <c r="AI22" s="36">
        <v>-84</v>
      </c>
      <c r="AJ22" s="36">
        <f>SUM(F22:I22)</f>
        <v>-26</v>
      </c>
      <c r="AK22" s="36">
        <f>SUM(J22:M22)</f>
        <v>-8</v>
      </c>
      <c r="AL22" s="36">
        <f>N22+O22+P22+Q22</f>
        <v>-16</v>
      </c>
      <c r="AM22" s="36">
        <f>SUM(R22:U22)</f>
        <v>-50</v>
      </c>
      <c r="AN22" s="36">
        <v>-58</v>
      </c>
      <c r="AO22" s="36">
        <v>-80</v>
      </c>
      <c r="AP22" s="36">
        <f t="shared" si="1"/>
        <v>-63</v>
      </c>
    </row>
    <row r="23" spans="1:42" ht="10.15" customHeight="1" x14ac:dyDescent="0.35">
      <c r="A23" s="7"/>
      <c r="B23" s="83"/>
      <c r="C23" s="91"/>
      <c r="D23" s="34"/>
      <c r="E23" s="90"/>
      <c r="F23" s="83"/>
      <c r="G23" s="91"/>
      <c r="H23" s="34"/>
      <c r="I23" s="90"/>
      <c r="J23" s="83"/>
      <c r="K23" s="91"/>
      <c r="L23" s="34"/>
      <c r="M23" s="90"/>
      <c r="N23" s="83"/>
      <c r="O23" s="91"/>
      <c r="P23" s="34"/>
      <c r="Q23" s="90"/>
      <c r="R23" s="83"/>
      <c r="S23" s="91"/>
      <c r="T23" s="34"/>
      <c r="U23" s="90"/>
      <c r="V23" s="90"/>
      <c r="W23" s="90"/>
      <c r="X23" s="90"/>
      <c r="Y23" s="90"/>
      <c r="Z23" s="90"/>
      <c r="AA23" s="90"/>
      <c r="AB23" s="90"/>
      <c r="AC23" s="90"/>
      <c r="AD23" s="83"/>
      <c r="AE23" s="91"/>
      <c r="AF23" s="90"/>
      <c r="AG23" s="90"/>
      <c r="AH23" s="43"/>
      <c r="AI23" s="33"/>
      <c r="AJ23" s="33"/>
      <c r="AK23" s="33"/>
      <c r="AL23" s="33"/>
      <c r="AM23" s="33"/>
      <c r="AN23" s="33"/>
      <c r="AO23" s="33"/>
      <c r="AP23" s="33"/>
    </row>
    <row r="24" spans="1:42" ht="13.7" customHeight="1" x14ac:dyDescent="0.35">
      <c r="A24" s="6" t="s">
        <v>93</v>
      </c>
      <c r="B24" s="81">
        <v>70</v>
      </c>
      <c r="C24" s="200">
        <v>66</v>
      </c>
      <c r="D24" s="48">
        <v>2092</v>
      </c>
      <c r="E24" s="92">
        <v>147</v>
      </c>
      <c r="F24" s="81">
        <v>-29</v>
      </c>
      <c r="G24" s="200">
        <v>68</v>
      </c>
      <c r="H24" s="48">
        <v>148</v>
      </c>
      <c r="I24" s="92">
        <v>104</v>
      </c>
      <c r="J24" s="81">
        <v>-10</v>
      </c>
      <c r="K24" s="200">
        <v>-241</v>
      </c>
      <c r="L24" s="48">
        <v>-74</v>
      </c>
      <c r="M24" s="92">
        <v>326</v>
      </c>
      <c r="N24" s="81">
        <v>405</v>
      </c>
      <c r="O24" s="200">
        <v>473</v>
      </c>
      <c r="P24" s="48">
        <v>618</v>
      </c>
      <c r="Q24" s="92">
        <v>684</v>
      </c>
      <c r="R24" s="81">
        <v>768</v>
      </c>
      <c r="S24" s="200">
        <v>815</v>
      </c>
      <c r="T24" s="48">
        <v>903</v>
      </c>
      <c r="U24" s="92">
        <v>877</v>
      </c>
      <c r="V24" s="92">
        <v>743</v>
      </c>
      <c r="W24" s="92">
        <v>863</v>
      </c>
      <c r="X24" s="92">
        <v>917</v>
      </c>
      <c r="Y24" s="92">
        <v>829</v>
      </c>
      <c r="Z24" s="92">
        <v>786</v>
      </c>
      <c r="AA24" s="92">
        <v>821</v>
      </c>
      <c r="AB24" s="92">
        <v>908</v>
      </c>
      <c r="AC24" s="92">
        <v>584</v>
      </c>
      <c r="AD24" s="81">
        <f>AD17+AD20+AD22</f>
        <v>631</v>
      </c>
      <c r="AE24" s="200">
        <f>AE17+AE20+AE22</f>
        <v>601</v>
      </c>
      <c r="AF24" s="92">
        <v>795</v>
      </c>
      <c r="AG24" s="92">
        <v>636</v>
      </c>
      <c r="AH24" s="43"/>
      <c r="AI24" s="50">
        <v>2375</v>
      </c>
      <c r="AJ24" s="50">
        <f>SUM(F24:I24)</f>
        <v>291</v>
      </c>
      <c r="AK24" s="50">
        <f>SUM(J24:M24)</f>
        <v>1</v>
      </c>
      <c r="AL24" s="50">
        <f>N24+O24+P24+Q24</f>
        <v>2180</v>
      </c>
      <c r="AM24" s="50">
        <f>SUM(R24:U24)</f>
        <v>3363</v>
      </c>
      <c r="AN24" s="50">
        <v>3352</v>
      </c>
      <c r="AO24" s="50">
        <v>3099</v>
      </c>
      <c r="AP24" s="50">
        <f>SUM(AD24:AG24)</f>
        <v>2663</v>
      </c>
    </row>
    <row r="25" spans="1:42" ht="10.15" customHeight="1" x14ac:dyDescent="0.35">
      <c r="A25" s="7"/>
      <c r="B25" s="83"/>
      <c r="C25" s="91"/>
      <c r="D25" s="34"/>
      <c r="E25" s="90"/>
      <c r="F25" s="83"/>
      <c r="G25" s="91"/>
      <c r="H25" s="34"/>
      <c r="I25" s="90"/>
      <c r="J25" s="83"/>
      <c r="K25" s="91"/>
      <c r="L25" s="34"/>
      <c r="M25" s="90"/>
      <c r="N25" s="83"/>
      <c r="O25" s="91"/>
      <c r="P25" s="34"/>
      <c r="Q25" s="90"/>
      <c r="R25" s="83"/>
      <c r="S25" s="91"/>
      <c r="T25" s="34"/>
      <c r="U25" s="90"/>
      <c r="V25" s="90"/>
      <c r="W25" s="90"/>
      <c r="X25" s="90"/>
      <c r="Y25" s="90"/>
      <c r="Z25" s="90"/>
      <c r="AA25" s="90"/>
      <c r="AB25" s="90"/>
      <c r="AC25" s="90"/>
      <c r="AD25" s="83"/>
      <c r="AE25" s="91"/>
      <c r="AF25" s="90"/>
      <c r="AG25" s="90"/>
      <c r="AH25" s="43"/>
      <c r="AI25" s="33"/>
      <c r="AJ25" s="33"/>
      <c r="AK25" s="33"/>
      <c r="AL25" s="33"/>
      <c r="AM25" s="33"/>
      <c r="AN25" s="33"/>
      <c r="AO25" s="33"/>
      <c r="AP25" s="33"/>
    </row>
    <row r="26" spans="1:42" ht="13.7" customHeight="1" x14ac:dyDescent="0.35">
      <c r="A26" s="7" t="s">
        <v>94</v>
      </c>
      <c r="B26" s="83">
        <v>-2</v>
      </c>
      <c r="C26" s="91">
        <v>-4</v>
      </c>
      <c r="D26" s="34">
        <v>-311</v>
      </c>
      <c r="E26" s="90">
        <v>141</v>
      </c>
      <c r="F26" s="83">
        <v>9</v>
      </c>
      <c r="G26" s="91">
        <v>-21</v>
      </c>
      <c r="H26" s="34">
        <v>-28</v>
      </c>
      <c r="I26" s="90">
        <v>20</v>
      </c>
      <c r="J26" s="83">
        <v>-2</v>
      </c>
      <c r="K26" s="91">
        <v>33</v>
      </c>
      <c r="L26" s="34">
        <v>57</v>
      </c>
      <c r="M26" s="90">
        <v>-5</v>
      </c>
      <c r="N26" s="83">
        <v>-40</v>
      </c>
      <c r="O26" s="91">
        <v>-65</v>
      </c>
      <c r="P26" s="34">
        <v>-95</v>
      </c>
      <c r="Q26" s="90">
        <v>-72</v>
      </c>
      <c r="R26" s="83">
        <v>-114</v>
      </c>
      <c r="S26" s="91">
        <v>-129</v>
      </c>
      <c r="T26" s="34">
        <v>-149</v>
      </c>
      <c r="U26" s="90">
        <v>-137</v>
      </c>
      <c r="V26" s="90">
        <v>-118</v>
      </c>
      <c r="W26" s="90">
        <v>-158</v>
      </c>
      <c r="X26" s="90">
        <v>-123</v>
      </c>
      <c r="Y26" s="90">
        <v>-124</v>
      </c>
      <c r="Z26" s="90">
        <v>-141</v>
      </c>
      <c r="AA26" s="90">
        <v>-154</v>
      </c>
      <c r="AB26" s="90">
        <v>-173</v>
      </c>
      <c r="AC26" s="90">
        <v>-77</v>
      </c>
      <c r="AD26" s="83">
        <v>-130</v>
      </c>
      <c r="AE26" s="91">
        <v>-116</v>
      </c>
      <c r="AF26" s="90">
        <v>-148</v>
      </c>
      <c r="AG26" s="90">
        <v>-131</v>
      </c>
      <c r="AH26" s="43"/>
      <c r="AI26" s="33">
        <v>-176</v>
      </c>
      <c r="AJ26" s="33">
        <f>SUM(F26:I26)</f>
        <v>-20</v>
      </c>
      <c r="AK26" s="33">
        <f>SUM(J26:M26)</f>
        <v>83</v>
      </c>
      <c r="AL26" s="33">
        <f t="shared" ref="AL26:AL27" si="2">N26+O26+P26+Q26</f>
        <v>-272</v>
      </c>
      <c r="AM26" s="33">
        <f>SUM(R26:U26)</f>
        <v>-529</v>
      </c>
      <c r="AN26" s="33">
        <v>-523</v>
      </c>
      <c r="AO26" s="33">
        <v>-545</v>
      </c>
      <c r="AP26" s="33">
        <f t="shared" ref="AP26:AP27" si="3">SUM(AD26:AG26)</f>
        <v>-525</v>
      </c>
    </row>
    <row r="27" spans="1:42" x14ac:dyDescent="0.35">
      <c r="A27" s="7" t="s">
        <v>95</v>
      </c>
      <c r="B27" s="84">
        <v>2</v>
      </c>
      <c r="C27" s="202">
        <v>4</v>
      </c>
      <c r="D27" s="69">
        <v>52</v>
      </c>
      <c r="E27" s="98">
        <v>1</v>
      </c>
      <c r="F27" s="84">
        <v>4</v>
      </c>
      <c r="G27" s="202">
        <v>-1</v>
      </c>
      <c r="H27" s="69">
        <v>-1</v>
      </c>
      <c r="I27" s="98">
        <v>-1</v>
      </c>
      <c r="J27" s="84">
        <v>-1</v>
      </c>
      <c r="K27" s="202">
        <v>-1</v>
      </c>
      <c r="L27" s="69">
        <v>-1</v>
      </c>
      <c r="M27" s="98">
        <v>-1</v>
      </c>
      <c r="N27" s="84">
        <v>-1</v>
      </c>
      <c r="O27" s="202">
        <v>-2</v>
      </c>
      <c r="P27" s="69">
        <v>3</v>
      </c>
      <c r="Q27" s="98">
        <v>-2</v>
      </c>
      <c r="R27" s="84">
        <v>12</v>
      </c>
      <c r="S27" s="202">
        <v>-3</v>
      </c>
      <c r="T27" s="69">
        <v>-4</v>
      </c>
      <c r="U27" s="98">
        <v>-6</v>
      </c>
      <c r="V27" s="98">
        <v>-2</v>
      </c>
      <c r="W27" s="98">
        <v>-1</v>
      </c>
      <c r="X27" s="98">
        <v>-2</v>
      </c>
      <c r="Y27" s="98">
        <v>-2</v>
      </c>
      <c r="Z27" s="98">
        <v>-1</v>
      </c>
      <c r="AA27" s="98">
        <v>-3</v>
      </c>
      <c r="AB27" s="98">
        <v>-6</v>
      </c>
      <c r="AC27" s="98">
        <v>-2</v>
      </c>
      <c r="AD27" s="84">
        <v>-4</v>
      </c>
      <c r="AE27" s="202">
        <v>-28</v>
      </c>
      <c r="AF27" s="98">
        <v>-1</v>
      </c>
      <c r="AG27" s="98">
        <v>-37</v>
      </c>
      <c r="AH27" s="43"/>
      <c r="AI27" s="70">
        <v>59</v>
      </c>
      <c r="AJ27" s="70">
        <f>SUM(F27:I27)</f>
        <v>1</v>
      </c>
      <c r="AK27" s="70">
        <f>SUM(J27:M27)</f>
        <v>-4</v>
      </c>
      <c r="AL27" s="70">
        <f t="shared" si="2"/>
        <v>-2</v>
      </c>
      <c r="AM27" s="70">
        <f>SUM(R27:U27)</f>
        <v>-1</v>
      </c>
      <c r="AN27" s="70">
        <v>-7</v>
      </c>
      <c r="AO27" s="70">
        <v>-12</v>
      </c>
      <c r="AP27" s="70">
        <f t="shared" si="3"/>
        <v>-70</v>
      </c>
    </row>
    <row r="28" spans="1:42" ht="10.15" customHeight="1" x14ac:dyDescent="0.35">
      <c r="A28" s="6"/>
      <c r="B28" s="83"/>
      <c r="C28" s="91"/>
      <c r="D28" s="34"/>
      <c r="E28" s="90"/>
      <c r="F28" s="83"/>
      <c r="G28" s="91"/>
      <c r="H28" s="34"/>
      <c r="I28" s="90"/>
      <c r="J28" s="83"/>
      <c r="K28" s="91"/>
      <c r="L28" s="34"/>
      <c r="M28" s="90"/>
      <c r="N28" s="83"/>
      <c r="O28" s="91"/>
      <c r="P28" s="34"/>
      <c r="Q28" s="90"/>
      <c r="R28" s="83"/>
      <c r="S28" s="91"/>
      <c r="T28" s="34"/>
      <c r="U28" s="90"/>
      <c r="V28" s="90"/>
      <c r="W28" s="90"/>
      <c r="X28" s="90"/>
      <c r="Y28" s="90"/>
      <c r="Z28" s="90"/>
      <c r="AA28" s="90"/>
      <c r="AB28" s="90"/>
      <c r="AC28" s="90"/>
      <c r="AD28" s="83"/>
      <c r="AE28" s="91"/>
      <c r="AF28" s="90"/>
      <c r="AG28" s="90"/>
      <c r="AH28" s="43"/>
      <c r="AI28" s="33"/>
      <c r="AJ28" s="33"/>
      <c r="AK28" s="33"/>
      <c r="AL28" s="33"/>
      <c r="AM28" s="33"/>
      <c r="AN28" s="33"/>
      <c r="AO28" s="33"/>
      <c r="AP28" s="33"/>
    </row>
    <row r="29" spans="1:42" ht="13.7" hidden="1" customHeight="1" x14ac:dyDescent="0.4">
      <c r="A29" s="6" t="s">
        <v>96</v>
      </c>
      <c r="B29" s="85">
        <v>70</v>
      </c>
      <c r="C29" s="203">
        <v>66</v>
      </c>
      <c r="D29" s="75">
        <v>1833</v>
      </c>
      <c r="E29" s="99">
        <v>289</v>
      </c>
      <c r="F29" s="85">
        <v>-16</v>
      </c>
      <c r="G29" s="203">
        <v>46</v>
      </c>
      <c r="H29" s="75">
        <v>119</v>
      </c>
      <c r="I29" s="99">
        <v>123</v>
      </c>
      <c r="J29" s="85">
        <v>-13</v>
      </c>
      <c r="K29" s="203">
        <v>-209</v>
      </c>
      <c r="L29" s="75">
        <v>-18</v>
      </c>
      <c r="M29" s="99">
        <v>320</v>
      </c>
      <c r="N29" s="85">
        <v>364</v>
      </c>
      <c r="O29" s="203">
        <v>406</v>
      </c>
      <c r="P29" s="75">
        <v>526</v>
      </c>
      <c r="Q29" s="99">
        <v>610</v>
      </c>
      <c r="R29" s="85">
        <v>666</v>
      </c>
      <c r="S29" s="203">
        <v>683</v>
      </c>
      <c r="T29" s="75">
        <v>750</v>
      </c>
      <c r="U29" s="99">
        <v>734</v>
      </c>
      <c r="V29" s="99">
        <v>623</v>
      </c>
      <c r="W29" s="99">
        <v>704</v>
      </c>
      <c r="X29" s="99">
        <v>792</v>
      </c>
      <c r="Y29" s="99">
        <v>703</v>
      </c>
      <c r="Z29" s="99"/>
      <c r="AA29" s="99"/>
      <c r="AB29" s="99"/>
      <c r="AC29" s="99"/>
      <c r="AD29" s="85"/>
      <c r="AE29" s="203"/>
      <c r="AF29" s="99"/>
      <c r="AG29" s="99"/>
      <c r="AH29" s="43"/>
      <c r="AI29" s="530">
        <v>2258</v>
      </c>
      <c r="AJ29" s="530">
        <f>SUM(F29:I29)</f>
        <v>272</v>
      </c>
      <c r="AK29" s="530">
        <f>SUM(J29:M29)</f>
        <v>80</v>
      </c>
      <c r="AL29" s="530">
        <f>N29+O29+P29+Q29</f>
        <v>1906</v>
      </c>
      <c r="AM29" s="530">
        <f>SUM(R29:U29)</f>
        <v>2833</v>
      </c>
      <c r="AN29" s="530">
        <v>2822</v>
      </c>
      <c r="AO29" s="530">
        <v>2199</v>
      </c>
      <c r="AP29" s="530">
        <f>SUM(X29:AA29)</f>
        <v>1495</v>
      </c>
    </row>
    <row r="30" spans="1:42" ht="10.15" hidden="1" customHeight="1" x14ac:dyDescent="0.35">
      <c r="A30" s="51"/>
      <c r="B30" s="83"/>
      <c r="C30" s="91"/>
      <c r="D30" s="34"/>
      <c r="E30" s="90"/>
      <c r="F30" s="83"/>
      <c r="G30" s="91"/>
      <c r="H30" s="34"/>
      <c r="I30" s="90"/>
      <c r="J30" s="83"/>
      <c r="K30" s="91"/>
      <c r="L30" s="34"/>
      <c r="M30" s="90"/>
      <c r="N30" s="83"/>
      <c r="O30" s="91"/>
      <c r="P30" s="34"/>
      <c r="Q30" s="90"/>
      <c r="R30" s="83"/>
      <c r="S30" s="91"/>
      <c r="T30" s="34"/>
      <c r="U30" s="90"/>
      <c r="V30" s="90"/>
      <c r="W30" s="90"/>
      <c r="X30" s="90"/>
      <c r="Y30" s="90"/>
      <c r="Z30" s="90"/>
      <c r="AA30" s="90"/>
      <c r="AB30" s="90"/>
      <c r="AC30" s="90"/>
      <c r="AD30" s="83"/>
      <c r="AE30" s="91"/>
      <c r="AF30" s="90"/>
      <c r="AG30" s="90"/>
      <c r="AH30" s="43"/>
      <c r="AI30" s="33"/>
      <c r="AJ30" s="33"/>
      <c r="AK30" s="33"/>
      <c r="AL30" s="33"/>
      <c r="AM30" s="33"/>
      <c r="AN30" s="33"/>
      <c r="AO30" s="33"/>
      <c r="AP30" s="33"/>
    </row>
    <row r="31" spans="1:42" ht="26.45" hidden="1" customHeight="1" x14ac:dyDescent="0.35">
      <c r="A31" s="7" t="s">
        <v>97</v>
      </c>
      <c r="B31" s="234">
        <v>0</v>
      </c>
      <c r="C31" s="239">
        <v>0</v>
      </c>
      <c r="D31" s="267">
        <v>0</v>
      </c>
      <c r="E31" s="98" t="s">
        <v>91</v>
      </c>
      <c r="F31" s="234" t="s">
        <v>91</v>
      </c>
      <c r="G31" s="239">
        <v>0</v>
      </c>
      <c r="H31" s="267">
        <v>0</v>
      </c>
      <c r="I31" s="337">
        <v>0</v>
      </c>
      <c r="J31" s="234">
        <v>0</v>
      </c>
      <c r="K31" s="239">
        <v>0</v>
      </c>
      <c r="L31" s="267">
        <v>0</v>
      </c>
      <c r="M31" s="337">
        <v>0</v>
      </c>
      <c r="N31" s="234">
        <v>0</v>
      </c>
      <c r="O31" s="239">
        <v>0</v>
      </c>
      <c r="P31" s="267">
        <v>0</v>
      </c>
      <c r="Q31" s="337">
        <v>0</v>
      </c>
      <c r="R31" s="234">
        <v>0</v>
      </c>
      <c r="S31" s="239">
        <v>0</v>
      </c>
      <c r="T31" s="267">
        <v>0</v>
      </c>
      <c r="U31" s="337">
        <v>0</v>
      </c>
      <c r="V31" s="337">
        <v>0</v>
      </c>
      <c r="W31" s="337">
        <v>0</v>
      </c>
      <c r="X31" s="337">
        <v>0</v>
      </c>
      <c r="Y31" s="337">
        <v>0</v>
      </c>
      <c r="Z31" s="337"/>
      <c r="AA31" s="337"/>
      <c r="AB31" s="337"/>
      <c r="AC31" s="337"/>
      <c r="AD31" s="234"/>
      <c r="AE31" s="239"/>
      <c r="AF31" s="337"/>
      <c r="AG31" s="337"/>
      <c r="AH31" s="43"/>
      <c r="AI31" s="531">
        <v>0</v>
      </c>
      <c r="AJ31" s="531"/>
      <c r="AK31" s="531">
        <f>SUM(J31:M31)</f>
        <v>0</v>
      </c>
      <c r="AL31" s="531">
        <f>N31+O31+P31+Q31</f>
        <v>0</v>
      </c>
      <c r="AM31" s="531">
        <f>SUM(R31:U31)</f>
        <v>0</v>
      </c>
      <c r="AN31" s="531">
        <v>0</v>
      </c>
      <c r="AO31" s="531">
        <v>0</v>
      </c>
      <c r="AP31" s="531">
        <f>SUM(X31:AA31)</f>
        <v>0</v>
      </c>
    </row>
    <row r="32" spans="1:42" ht="10.15" hidden="1" customHeight="1" x14ac:dyDescent="0.35">
      <c r="A32" s="7"/>
      <c r="B32" s="83"/>
      <c r="C32" s="91"/>
      <c r="D32" s="34"/>
      <c r="E32" s="90"/>
      <c r="F32" s="83"/>
      <c r="G32" s="91"/>
      <c r="H32" s="34"/>
      <c r="I32" s="90"/>
      <c r="J32" s="83"/>
      <c r="K32" s="91"/>
      <c r="L32" s="34"/>
      <c r="M32" s="90"/>
      <c r="N32" s="83"/>
      <c r="O32" s="91"/>
      <c r="P32" s="34"/>
      <c r="Q32" s="90"/>
      <c r="R32" s="83"/>
      <c r="S32" s="91"/>
      <c r="T32" s="34"/>
      <c r="U32" s="90"/>
      <c r="V32" s="90"/>
      <c r="W32" s="90"/>
      <c r="X32" s="90"/>
      <c r="Y32" s="90"/>
      <c r="Z32" s="90"/>
      <c r="AA32" s="90"/>
      <c r="AB32" s="90"/>
      <c r="AC32" s="90"/>
      <c r="AD32" s="83"/>
      <c r="AE32" s="91"/>
      <c r="AF32" s="90"/>
      <c r="AG32" s="90"/>
      <c r="AH32" s="43"/>
      <c r="AI32" s="33"/>
      <c r="AJ32" s="33"/>
      <c r="AK32" s="33"/>
      <c r="AL32" s="33"/>
      <c r="AM32" s="33"/>
      <c r="AN32" s="33"/>
      <c r="AO32" s="33"/>
      <c r="AP32" s="33"/>
    </row>
    <row r="33" spans="1:42" ht="13.7" customHeight="1" x14ac:dyDescent="0.35">
      <c r="A33" s="6" t="s">
        <v>98</v>
      </c>
      <c r="B33" s="81">
        <v>70</v>
      </c>
      <c r="C33" s="200">
        <v>66</v>
      </c>
      <c r="D33" s="48">
        <v>1833</v>
      </c>
      <c r="E33" s="92">
        <v>289</v>
      </c>
      <c r="F33" s="81">
        <v>-16</v>
      </c>
      <c r="G33" s="200">
        <v>46</v>
      </c>
      <c r="H33" s="48">
        <v>119</v>
      </c>
      <c r="I33" s="92">
        <v>123</v>
      </c>
      <c r="J33" s="81">
        <v>-13</v>
      </c>
      <c r="K33" s="200">
        <v>-209</v>
      </c>
      <c r="L33" s="48">
        <v>-18</v>
      </c>
      <c r="M33" s="92">
        <v>320</v>
      </c>
      <c r="N33" s="81">
        <v>364</v>
      </c>
      <c r="O33" s="200">
        <v>406</v>
      </c>
      <c r="P33" s="48">
        <v>526</v>
      </c>
      <c r="Q33" s="92">
        <v>610</v>
      </c>
      <c r="R33" s="81">
        <v>666</v>
      </c>
      <c r="S33" s="200">
        <v>683</v>
      </c>
      <c r="T33" s="48">
        <v>750</v>
      </c>
      <c r="U33" s="92">
        <v>734</v>
      </c>
      <c r="V33" s="92">
        <v>623</v>
      </c>
      <c r="W33" s="92">
        <v>704</v>
      </c>
      <c r="X33" s="92">
        <v>792</v>
      </c>
      <c r="Y33" s="92">
        <v>703</v>
      </c>
      <c r="Z33" s="92">
        <v>644</v>
      </c>
      <c r="AA33" s="92">
        <v>664</v>
      </c>
      <c r="AB33" s="92">
        <v>729</v>
      </c>
      <c r="AC33" s="92">
        <v>505</v>
      </c>
      <c r="AD33" s="81">
        <f>AD24+AD26+AD27</f>
        <v>497</v>
      </c>
      <c r="AE33" s="200">
        <f>AE24+AE26+AE27</f>
        <v>457</v>
      </c>
      <c r="AF33" s="92">
        <v>646</v>
      </c>
      <c r="AG33" s="92">
        <v>468</v>
      </c>
      <c r="AH33" s="43"/>
      <c r="AI33" s="50">
        <v>2258</v>
      </c>
      <c r="AJ33" s="50">
        <f>SUM(F33:I33)</f>
        <v>272</v>
      </c>
      <c r="AK33" s="50">
        <f>SUM(J33:M33)</f>
        <v>80</v>
      </c>
      <c r="AL33" s="50">
        <f>N33+O33+P33+Q33</f>
        <v>1906</v>
      </c>
      <c r="AM33" s="50">
        <f>SUM(R33:U33)</f>
        <v>2833</v>
      </c>
      <c r="AN33" s="50">
        <v>2822</v>
      </c>
      <c r="AO33" s="50">
        <v>2542</v>
      </c>
      <c r="AP33" s="50">
        <f>SUM(AD33:AG33)</f>
        <v>2068</v>
      </c>
    </row>
    <row r="34" spans="1:42" ht="10.15" customHeight="1" x14ac:dyDescent="0.35">
      <c r="A34" s="6"/>
      <c r="B34" s="81"/>
      <c r="C34" s="200"/>
      <c r="D34" s="48"/>
      <c r="E34" s="92"/>
      <c r="F34" s="81"/>
      <c r="G34" s="200"/>
      <c r="H34" s="48"/>
      <c r="I34" s="92"/>
      <c r="J34" s="81"/>
      <c r="K34" s="200"/>
      <c r="L34" s="48"/>
      <c r="M34" s="92"/>
      <c r="N34" s="81"/>
      <c r="O34" s="200"/>
      <c r="P34" s="48"/>
      <c r="Q34" s="92"/>
      <c r="R34" s="81"/>
      <c r="S34" s="200"/>
      <c r="T34" s="48"/>
      <c r="U34" s="92"/>
      <c r="V34" s="92"/>
      <c r="W34" s="92"/>
      <c r="X34" s="92"/>
      <c r="Y34" s="92"/>
      <c r="Z34" s="92"/>
      <c r="AA34" s="92"/>
      <c r="AB34" s="92"/>
      <c r="AC34" s="92"/>
      <c r="AD34" s="81"/>
      <c r="AE34" s="200"/>
      <c r="AF34" s="92"/>
      <c r="AG34" s="92"/>
      <c r="AH34" s="43"/>
      <c r="AI34" s="50"/>
      <c r="AJ34" s="50"/>
      <c r="AK34" s="50"/>
      <c r="AL34" s="50"/>
      <c r="AM34" s="50"/>
      <c r="AN34" s="50"/>
      <c r="AO34" s="50"/>
      <c r="AP34" s="50"/>
    </row>
    <row r="35" spans="1:42" ht="25.5" customHeight="1" x14ac:dyDescent="0.35">
      <c r="A35" s="7" t="s">
        <v>99</v>
      </c>
      <c r="B35" s="269">
        <v>-12</v>
      </c>
      <c r="C35" s="270">
        <v>-12</v>
      </c>
      <c r="D35" s="271">
        <v>-13</v>
      </c>
      <c r="E35" s="98">
        <v>-13</v>
      </c>
      <c r="F35" s="84">
        <v>-5</v>
      </c>
      <c r="G35" s="202">
        <v>-5</v>
      </c>
      <c r="H35" s="69">
        <v>-10</v>
      </c>
      <c r="I35" s="98">
        <v>-9</v>
      </c>
      <c r="J35" s="84">
        <v>-8</v>
      </c>
      <c r="K35" s="202">
        <v>-5</v>
      </c>
      <c r="L35" s="69">
        <v>-4</v>
      </c>
      <c r="M35" s="98">
        <v>-11</v>
      </c>
      <c r="N35" s="84">
        <v>-11</v>
      </c>
      <c r="O35" s="202">
        <v>-9</v>
      </c>
      <c r="P35" s="69">
        <v>-7</v>
      </c>
      <c r="Q35" s="98">
        <v>-8</v>
      </c>
      <c r="R35" s="84">
        <v>-9</v>
      </c>
      <c r="S35" s="202">
        <v>-13</v>
      </c>
      <c r="T35" s="69">
        <v>-12</v>
      </c>
      <c r="U35" s="98">
        <v>-12</v>
      </c>
      <c r="V35" s="98">
        <v>-8</v>
      </c>
      <c r="W35" s="98">
        <v>-6</v>
      </c>
      <c r="X35" s="98">
        <v>-5</v>
      </c>
      <c r="Y35" s="98">
        <v>-6</v>
      </c>
      <c r="Z35" s="98">
        <v>-5</v>
      </c>
      <c r="AA35" s="98">
        <v>-6</v>
      </c>
      <c r="AB35" s="98">
        <v>-11</v>
      </c>
      <c r="AC35" s="98">
        <v>-10</v>
      </c>
      <c r="AD35" s="84">
        <v>-7</v>
      </c>
      <c r="AE35" s="202">
        <v>-12</v>
      </c>
      <c r="AF35" s="98">
        <v>-15</v>
      </c>
      <c r="AG35" s="98">
        <v>-13</v>
      </c>
      <c r="AH35" s="43"/>
      <c r="AI35" s="70">
        <v>-50</v>
      </c>
      <c r="AJ35" s="70">
        <f>SUM(F35:I35)</f>
        <v>-29</v>
      </c>
      <c r="AK35" s="70">
        <f>SUM(J35:M35)</f>
        <v>-28</v>
      </c>
      <c r="AL35" s="70">
        <f>N35+O35+P35+Q35</f>
        <v>-35</v>
      </c>
      <c r="AM35" s="70">
        <f>SUM(R35:U35)</f>
        <v>-46</v>
      </c>
      <c r="AN35" s="70">
        <v>-25</v>
      </c>
      <c r="AO35" s="70">
        <v>-32</v>
      </c>
      <c r="AP35" s="70">
        <f>SUM(AD35:AG35)</f>
        <v>-47</v>
      </c>
    </row>
    <row r="36" spans="1:42" ht="10.15" customHeight="1" x14ac:dyDescent="0.35">
      <c r="A36" s="7"/>
      <c r="B36" s="83"/>
      <c r="C36" s="91"/>
      <c r="D36" s="34"/>
      <c r="E36" s="90"/>
      <c r="F36" s="83"/>
      <c r="G36" s="91"/>
      <c r="H36" s="34"/>
      <c r="I36" s="90"/>
      <c r="J36" s="83"/>
      <c r="K36" s="91"/>
      <c r="L36" s="34"/>
      <c r="M36" s="90"/>
      <c r="N36" s="83"/>
      <c r="O36" s="91"/>
      <c r="P36" s="34"/>
      <c r="Q36" s="90"/>
      <c r="R36" s="83"/>
      <c r="S36" s="91"/>
      <c r="T36" s="34"/>
      <c r="U36" s="90"/>
      <c r="V36" s="90"/>
      <c r="W36" s="90"/>
      <c r="X36" s="90"/>
      <c r="Y36" s="90"/>
      <c r="Z36" s="90"/>
      <c r="AA36" s="90"/>
      <c r="AB36" s="90"/>
      <c r="AC36" s="90"/>
      <c r="AD36" s="83"/>
      <c r="AE36" s="91"/>
      <c r="AF36" s="90"/>
      <c r="AG36" s="90"/>
      <c r="AH36" s="43"/>
      <c r="AI36" s="33"/>
      <c r="AJ36" s="33"/>
      <c r="AK36" s="33"/>
      <c r="AL36" s="33"/>
      <c r="AM36" s="33"/>
      <c r="AN36" s="33"/>
      <c r="AO36" s="33"/>
      <c r="AP36" s="33"/>
    </row>
    <row r="37" spans="1:42" ht="27" customHeight="1" x14ac:dyDescent="0.4">
      <c r="A37" s="6" t="s">
        <v>100</v>
      </c>
      <c r="B37" s="86">
        <v>58</v>
      </c>
      <c r="C37" s="204">
        <v>54</v>
      </c>
      <c r="D37" s="71">
        <v>1820</v>
      </c>
      <c r="E37" s="93">
        <v>276</v>
      </c>
      <c r="F37" s="86">
        <v>-21</v>
      </c>
      <c r="G37" s="204">
        <v>41</v>
      </c>
      <c r="H37" s="71">
        <v>109</v>
      </c>
      <c r="I37" s="93">
        <v>114</v>
      </c>
      <c r="J37" s="86">
        <v>-21</v>
      </c>
      <c r="K37" s="204">
        <v>-214</v>
      </c>
      <c r="L37" s="71">
        <v>-22</v>
      </c>
      <c r="M37" s="93">
        <v>309</v>
      </c>
      <c r="N37" s="86">
        <v>353</v>
      </c>
      <c r="O37" s="204">
        <v>397</v>
      </c>
      <c r="P37" s="71">
        <v>519</v>
      </c>
      <c r="Q37" s="93">
        <v>602</v>
      </c>
      <c r="R37" s="86">
        <v>657</v>
      </c>
      <c r="S37" s="204">
        <v>670</v>
      </c>
      <c r="T37" s="71">
        <v>738</v>
      </c>
      <c r="U37" s="93">
        <v>722</v>
      </c>
      <c r="V37" s="93">
        <v>615</v>
      </c>
      <c r="W37" s="93">
        <v>698</v>
      </c>
      <c r="X37" s="93">
        <v>787</v>
      </c>
      <c r="Y37" s="93">
        <v>697</v>
      </c>
      <c r="Z37" s="93">
        <v>639</v>
      </c>
      <c r="AA37" s="93">
        <v>658</v>
      </c>
      <c r="AB37" s="93">
        <v>718</v>
      </c>
      <c r="AC37" s="93">
        <v>495</v>
      </c>
      <c r="AD37" s="86">
        <f>AD33+AD35</f>
        <v>490</v>
      </c>
      <c r="AE37" s="204">
        <f>AE33+AE35</f>
        <v>445</v>
      </c>
      <c r="AF37" s="93">
        <v>631</v>
      </c>
      <c r="AG37" s="93">
        <v>455</v>
      </c>
      <c r="AH37" s="43"/>
      <c r="AI37" s="532">
        <v>2208</v>
      </c>
      <c r="AJ37" s="532">
        <f>SUM(F37:I37)</f>
        <v>243</v>
      </c>
      <c r="AK37" s="532">
        <f>SUM(J37:M37)</f>
        <v>52</v>
      </c>
      <c r="AL37" s="532">
        <f>N37+O37+P37+Q37</f>
        <v>1871</v>
      </c>
      <c r="AM37" s="532">
        <f>SUM(R37:U37)</f>
        <v>2787</v>
      </c>
      <c r="AN37" s="532">
        <v>2797</v>
      </c>
      <c r="AO37" s="532">
        <v>2510</v>
      </c>
      <c r="AP37" s="532">
        <f>SUM(AD37:AG37)</f>
        <v>2021</v>
      </c>
    </row>
    <row r="38" spans="1:42" ht="10.15" customHeight="1" x14ac:dyDescent="0.35">
      <c r="A38" s="7"/>
      <c r="B38" s="58"/>
      <c r="C38" s="199"/>
      <c r="D38" s="16"/>
      <c r="E38" s="57"/>
      <c r="F38" s="58"/>
      <c r="G38" s="199"/>
      <c r="H38" s="16"/>
      <c r="I38" s="57"/>
      <c r="J38" s="58"/>
      <c r="K38" s="199"/>
      <c r="L38" s="16"/>
      <c r="M38" s="57"/>
      <c r="N38" s="58"/>
      <c r="O38" s="199"/>
      <c r="P38" s="16"/>
      <c r="Q38" s="57"/>
      <c r="R38" s="58"/>
      <c r="S38" s="199"/>
      <c r="T38" s="16"/>
      <c r="U38" s="57"/>
      <c r="V38" s="57"/>
      <c r="W38" s="57"/>
      <c r="X38" s="57"/>
      <c r="Y38" s="57"/>
      <c r="Z38" s="57"/>
      <c r="AA38" s="57"/>
      <c r="AB38" s="57"/>
      <c r="AC38" s="57"/>
      <c r="AD38" s="58"/>
      <c r="AE38" s="199"/>
      <c r="AF38" s="57"/>
      <c r="AG38" s="57"/>
      <c r="AI38" s="3"/>
      <c r="AJ38" s="3"/>
      <c r="AK38" s="3"/>
      <c r="AL38" s="3"/>
      <c r="AM38" s="3"/>
      <c r="AN38" s="3"/>
      <c r="AO38" s="3"/>
      <c r="AP38" s="3"/>
    </row>
    <row r="39" spans="1:42" ht="13.7" customHeight="1" x14ac:dyDescent="0.35">
      <c r="A39" s="6" t="s">
        <v>101</v>
      </c>
      <c r="B39" s="58"/>
      <c r="C39" s="199"/>
      <c r="D39" s="16"/>
      <c r="E39" s="57"/>
      <c r="F39" s="58"/>
      <c r="G39" s="199"/>
      <c r="H39" s="16"/>
      <c r="I39" s="57"/>
      <c r="J39" s="58"/>
      <c r="K39" s="199"/>
      <c r="L39" s="16"/>
      <c r="M39" s="57"/>
      <c r="N39" s="58"/>
      <c r="O39" s="199"/>
      <c r="P39" s="16"/>
      <c r="Q39" s="57"/>
      <c r="R39" s="58"/>
      <c r="S39" s="199"/>
      <c r="T39" s="16"/>
      <c r="U39" s="57"/>
      <c r="V39" s="57"/>
      <c r="W39" s="57"/>
      <c r="X39" s="57"/>
      <c r="Y39" s="57"/>
      <c r="Z39" s="57"/>
      <c r="AA39" s="57"/>
      <c r="AB39" s="57"/>
      <c r="AC39" s="57"/>
      <c r="AD39" s="58"/>
      <c r="AE39" s="199"/>
      <c r="AF39" s="57"/>
      <c r="AG39" s="57"/>
      <c r="AI39" s="3"/>
      <c r="AJ39" s="3"/>
      <c r="AK39" s="3"/>
      <c r="AL39" s="3"/>
      <c r="AM39" s="3"/>
      <c r="AN39" s="3"/>
      <c r="AO39" s="3"/>
      <c r="AP39" s="3"/>
    </row>
    <row r="40" spans="1:42" ht="27" customHeight="1" x14ac:dyDescent="0.35">
      <c r="A40" s="7" t="s">
        <v>102</v>
      </c>
      <c r="B40" s="58"/>
      <c r="C40" s="199"/>
      <c r="D40" s="16"/>
      <c r="E40" s="57"/>
      <c r="F40" s="58"/>
      <c r="G40" s="199"/>
      <c r="H40" s="16"/>
      <c r="I40" s="57"/>
      <c r="J40" s="58"/>
      <c r="K40" s="199"/>
      <c r="L40" s="16"/>
      <c r="M40" s="57"/>
      <c r="N40" s="58"/>
      <c r="O40" s="199"/>
      <c r="P40" s="16"/>
      <c r="Q40" s="57"/>
      <c r="R40" s="58"/>
      <c r="S40" s="199"/>
      <c r="T40" s="16"/>
      <c r="U40" s="57"/>
      <c r="V40" s="57"/>
      <c r="W40" s="57"/>
      <c r="X40" s="57"/>
      <c r="Y40" s="57"/>
      <c r="Z40" s="57"/>
      <c r="AA40" s="57"/>
      <c r="AB40" s="57"/>
      <c r="AC40" s="57"/>
      <c r="AD40" s="58"/>
      <c r="AE40" s="199"/>
      <c r="AF40" s="57"/>
      <c r="AG40" s="57"/>
      <c r="AI40" s="3"/>
      <c r="AJ40" s="3"/>
      <c r="AK40" s="3"/>
      <c r="AL40" s="3"/>
      <c r="AM40" s="3"/>
      <c r="AN40" s="3"/>
      <c r="AO40" s="3"/>
      <c r="AP40" s="3"/>
    </row>
    <row r="41" spans="1:42" ht="13.7" customHeight="1" x14ac:dyDescent="0.35">
      <c r="A41" s="21" t="s">
        <v>103</v>
      </c>
      <c r="B41" s="58"/>
      <c r="C41" s="199"/>
      <c r="D41" s="16"/>
      <c r="E41" s="57"/>
      <c r="F41" s="58"/>
      <c r="G41" s="199"/>
      <c r="H41" s="16"/>
      <c r="I41" s="57"/>
      <c r="J41" s="58"/>
      <c r="K41" s="199"/>
      <c r="L41" s="16"/>
      <c r="M41" s="57"/>
      <c r="N41" s="58"/>
      <c r="O41" s="199"/>
      <c r="P41" s="16"/>
      <c r="Q41" s="57"/>
      <c r="R41" s="58"/>
      <c r="S41" s="199"/>
      <c r="T41" s="16"/>
      <c r="U41" s="57"/>
      <c r="V41" s="57"/>
      <c r="W41" s="57"/>
      <c r="X41" s="57"/>
      <c r="Y41" s="57"/>
      <c r="Z41" s="57"/>
      <c r="AA41" s="57"/>
      <c r="AB41" s="57"/>
      <c r="AC41" s="57"/>
      <c r="AD41" s="58"/>
      <c r="AE41" s="199"/>
      <c r="AF41" s="57"/>
      <c r="AG41" s="57"/>
      <c r="AI41" s="3"/>
      <c r="AJ41" s="3"/>
      <c r="AK41" s="3"/>
      <c r="AL41" s="3"/>
      <c r="AM41" s="3"/>
      <c r="AN41" s="3"/>
      <c r="AO41" s="3"/>
      <c r="AP41" s="3"/>
    </row>
    <row r="42" spans="1:42" ht="13.7" customHeight="1" x14ac:dyDescent="0.35">
      <c r="A42" s="7" t="s">
        <v>96</v>
      </c>
      <c r="B42" s="87">
        <v>0.17</v>
      </c>
      <c r="C42" s="205">
        <v>0.16</v>
      </c>
      <c r="D42" s="46">
        <v>5.64</v>
      </c>
      <c r="E42" s="100">
        <v>0.9414332980864345</v>
      </c>
      <c r="F42" s="87">
        <v>-7.0000000000000007E-2</v>
      </c>
      <c r="G42" s="205">
        <v>0.15</v>
      </c>
      <c r="H42" s="46">
        <v>0.39</v>
      </c>
      <c r="I42" s="100">
        <v>0.41</v>
      </c>
      <c r="J42" s="87">
        <v>-0.08</v>
      </c>
      <c r="K42" s="205">
        <v>-0.77</v>
      </c>
      <c r="L42" s="46">
        <v>-0.08</v>
      </c>
      <c r="M42" s="100">
        <v>1.1000000000000001</v>
      </c>
      <c r="N42" s="87">
        <v>1.27</v>
      </c>
      <c r="O42" s="205">
        <v>1.46</v>
      </c>
      <c r="P42" s="46">
        <v>1.95</v>
      </c>
      <c r="Q42" s="100">
        <v>2.27</v>
      </c>
      <c r="R42" s="87">
        <v>2.5</v>
      </c>
      <c r="S42" s="205">
        <v>2.5499999999999998</v>
      </c>
      <c r="T42" s="46">
        <f>(T37*1000)/T51</f>
        <v>2.8148600198337022</v>
      </c>
      <c r="U42" s="100">
        <v>2.78</v>
      </c>
      <c r="V42" s="100">
        <v>2.37</v>
      </c>
      <c r="W42" s="100">
        <v>2.69</v>
      </c>
      <c r="X42" s="100">
        <v>3.06</v>
      </c>
      <c r="Y42" s="100">
        <v>2.71</v>
      </c>
      <c r="Z42" s="100">
        <v>2.4900000000000002</v>
      </c>
      <c r="AA42" s="100">
        <v>2.58</v>
      </c>
      <c r="AB42" s="100">
        <v>2.82</v>
      </c>
      <c r="AC42" s="100">
        <v>1.95</v>
      </c>
      <c r="AD42" s="87">
        <v>1.93</v>
      </c>
      <c r="AE42" s="205">
        <v>1.76</v>
      </c>
      <c r="AF42" s="100">
        <v>2.502280207796328</v>
      </c>
      <c r="AG42" s="100">
        <v>1.8016662442980234</v>
      </c>
      <c r="AH42" s="533"/>
      <c r="AI42" s="534">
        <v>6.7775591578391614</v>
      </c>
      <c r="AJ42" s="534">
        <v>0.86</v>
      </c>
      <c r="AK42" s="534">
        <v>0.19</v>
      </c>
      <c r="AL42" s="534">
        <v>6.91</v>
      </c>
      <c r="AM42" s="534">
        <v>10.64</v>
      </c>
      <c r="AN42" s="534">
        <v>10.83</v>
      </c>
      <c r="AO42" s="534">
        <v>9.84</v>
      </c>
      <c r="AP42" s="558">
        <v>7.9975306980922269</v>
      </c>
    </row>
    <row r="43" spans="1:42" ht="27" customHeight="1" x14ac:dyDescent="0.35">
      <c r="A43" s="7" t="s">
        <v>104</v>
      </c>
      <c r="B43" s="235">
        <v>0</v>
      </c>
      <c r="C43" s="240">
        <v>0</v>
      </c>
      <c r="D43" s="240">
        <v>0</v>
      </c>
      <c r="E43" s="157" t="s">
        <v>91</v>
      </c>
      <c r="F43" s="235" t="s">
        <v>91</v>
      </c>
      <c r="G43" s="240">
        <v>0</v>
      </c>
      <c r="H43" s="240">
        <v>0</v>
      </c>
      <c r="I43" s="157" t="s">
        <v>91</v>
      </c>
      <c r="J43" s="235">
        <v>0</v>
      </c>
      <c r="K43" s="240">
        <v>0</v>
      </c>
      <c r="L43" s="240">
        <v>0</v>
      </c>
      <c r="M43" s="341">
        <v>0</v>
      </c>
      <c r="N43" s="235">
        <v>0</v>
      </c>
      <c r="O43" s="240">
        <v>0</v>
      </c>
      <c r="P43" s="240">
        <v>0</v>
      </c>
      <c r="Q43" s="341">
        <v>0</v>
      </c>
      <c r="R43" s="235">
        <v>0</v>
      </c>
      <c r="S43" s="240">
        <v>0</v>
      </c>
      <c r="T43" s="240">
        <v>0</v>
      </c>
      <c r="U43" s="341">
        <v>0</v>
      </c>
      <c r="V43" s="341">
        <v>0</v>
      </c>
      <c r="W43" s="341">
        <v>0</v>
      </c>
      <c r="X43" s="341">
        <v>0</v>
      </c>
      <c r="Y43" s="341">
        <v>0</v>
      </c>
      <c r="Z43" s="341">
        <v>0</v>
      </c>
      <c r="AA43" s="341">
        <v>0</v>
      </c>
      <c r="AB43" s="535">
        <v>0</v>
      </c>
      <c r="AC43" s="535">
        <v>0</v>
      </c>
      <c r="AD43" s="235">
        <v>0</v>
      </c>
      <c r="AE43" s="240">
        <v>0</v>
      </c>
      <c r="AF43" s="535">
        <v>0</v>
      </c>
      <c r="AG43" s="535">
        <v>0</v>
      </c>
      <c r="AH43" s="533"/>
      <c r="AI43" s="536" t="s">
        <v>91</v>
      </c>
      <c r="AJ43" s="536">
        <v>0</v>
      </c>
      <c r="AK43" s="536">
        <v>0</v>
      </c>
      <c r="AL43" s="536">
        <v>0</v>
      </c>
      <c r="AM43" s="536">
        <v>0</v>
      </c>
      <c r="AN43" s="536">
        <v>0</v>
      </c>
      <c r="AO43" s="536">
        <v>0</v>
      </c>
      <c r="AP43" s="559">
        <v>0</v>
      </c>
    </row>
    <row r="44" spans="1:42" ht="13.7" customHeight="1" x14ac:dyDescent="0.35">
      <c r="A44" s="7" t="s">
        <v>105</v>
      </c>
      <c r="B44" s="87">
        <v>0.17</v>
      </c>
      <c r="C44" s="205">
        <v>0.16</v>
      </c>
      <c r="D44" s="46">
        <v>5.64</v>
      </c>
      <c r="E44" s="100">
        <v>0.9414332980864345</v>
      </c>
      <c r="F44" s="87">
        <v>-7.0000000000000007E-2</v>
      </c>
      <c r="G44" s="205">
        <v>0.15</v>
      </c>
      <c r="H44" s="46">
        <v>0.39</v>
      </c>
      <c r="I44" s="100">
        <v>0.41</v>
      </c>
      <c r="J44" s="87">
        <v>-0.08</v>
      </c>
      <c r="K44" s="205">
        <v>-0.77</v>
      </c>
      <c r="L44" s="46">
        <v>-0.08</v>
      </c>
      <c r="M44" s="100">
        <v>1.1000000000000001</v>
      </c>
      <c r="N44" s="87">
        <v>1.27</v>
      </c>
      <c r="O44" s="205">
        <v>1.46</v>
      </c>
      <c r="P44" s="46">
        <v>1.95</v>
      </c>
      <c r="Q44" s="100">
        <v>2.27</v>
      </c>
      <c r="R44" s="87">
        <v>2.5</v>
      </c>
      <c r="S44" s="205">
        <v>2.5499999999999998</v>
      </c>
      <c r="T44" s="46">
        <v>2.81</v>
      </c>
      <c r="U44" s="100">
        <v>2.78</v>
      </c>
      <c r="V44" s="100">
        <v>2.37</v>
      </c>
      <c r="W44" s="100">
        <v>2.69</v>
      </c>
      <c r="X44" s="100">
        <v>3.06</v>
      </c>
      <c r="Y44" s="100">
        <v>2.71</v>
      </c>
      <c r="Z44" s="100">
        <v>2.4900000000000002</v>
      </c>
      <c r="AA44" s="100">
        <v>2.58</v>
      </c>
      <c r="AB44" s="100">
        <v>2.82</v>
      </c>
      <c r="AC44" s="100">
        <v>1.95</v>
      </c>
      <c r="AD44" s="87">
        <v>1.93</v>
      </c>
      <c r="AE44" s="205">
        <v>1.76</v>
      </c>
      <c r="AF44" s="100">
        <v>2.502280207796328</v>
      </c>
      <c r="AG44" s="100">
        <v>1.8016662442980234</v>
      </c>
      <c r="AH44" s="533"/>
      <c r="AI44" s="534">
        <v>6.7775591578391614</v>
      </c>
      <c r="AJ44" s="534">
        <v>0.86</v>
      </c>
      <c r="AK44" s="534">
        <v>0.19</v>
      </c>
      <c r="AL44" s="534">
        <v>6.91</v>
      </c>
      <c r="AM44" s="534">
        <v>10.64</v>
      </c>
      <c r="AN44" s="534">
        <v>10.83</v>
      </c>
      <c r="AO44" s="534">
        <v>9.84</v>
      </c>
      <c r="AP44" s="558">
        <v>7.9975306980922269</v>
      </c>
    </row>
    <row r="45" spans="1:42" ht="13.7" customHeight="1" x14ac:dyDescent="0.35">
      <c r="A45" s="21" t="s">
        <v>106</v>
      </c>
      <c r="B45" s="87"/>
      <c r="C45" s="205"/>
      <c r="D45" s="46"/>
      <c r="E45" s="100"/>
      <c r="F45" s="87"/>
      <c r="G45" s="205"/>
      <c r="H45" s="46"/>
      <c r="I45" s="100"/>
      <c r="J45" s="87"/>
      <c r="K45" s="205"/>
      <c r="L45" s="46"/>
      <c r="M45" s="100"/>
      <c r="N45" s="87"/>
      <c r="O45" s="205"/>
      <c r="P45" s="46"/>
      <c r="Q45" s="100"/>
      <c r="R45" s="87"/>
      <c r="S45" s="205"/>
      <c r="T45" s="46"/>
      <c r="U45" s="100"/>
      <c r="V45" s="100"/>
      <c r="W45" s="100"/>
      <c r="X45" s="100"/>
      <c r="Y45" s="100"/>
      <c r="Z45" s="100"/>
      <c r="AA45" s="100"/>
      <c r="AB45" s="100"/>
      <c r="AC45" s="100"/>
      <c r="AD45" s="87"/>
      <c r="AE45" s="205"/>
      <c r="AF45" s="100"/>
      <c r="AG45" s="100"/>
      <c r="AH45" s="533"/>
      <c r="AI45" s="534"/>
      <c r="AJ45" s="534"/>
      <c r="AK45" s="534"/>
      <c r="AL45" s="534"/>
      <c r="AM45" s="534"/>
      <c r="AN45" s="534"/>
      <c r="AO45" s="534"/>
      <c r="AP45" s="558"/>
    </row>
    <row r="46" spans="1:42" ht="13.7" customHeight="1" x14ac:dyDescent="0.35">
      <c r="A46" s="7" t="s">
        <v>107</v>
      </c>
      <c r="B46" s="87">
        <v>0.17</v>
      </c>
      <c r="C46" s="205">
        <v>0.16</v>
      </c>
      <c r="D46" s="46">
        <v>5.6</v>
      </c>
      <c r="E46" s="100">
        <v>0.93576134017298018</v>
      </c>
      <c r="F46" s="87">
        <v>-7.0000000000000007E-2</v>
      </c>
      <c r="G46" s="205">
        <v>0.14000000000000001</v>
      </c>
      <c r="H46" s="46">
        <v>0.38</v>
      </c>
      <c r="I46" s="100">
        <v>0.4</v>
      </c>
      <c r="J46" s="87">
        <v>-0.08</v>
      </c>
      <c r="K46" s="205">
        <v>-0.77</v>
      </c>
      <c r="L46" s="46">
        <v>-0.08</v>
      </c>
      <c r="M46" s="100">
        <v>1.08</v>
      </c>
      <c r="N46" s="87">
        <v>1.25</v>
      </c>
      <c r="O46" s="205">
        <v>1.42</v>
      </c>
      <c r="P46" s="46">
        <v>1.91</v>
      </c>
      <c r="Q46" s="100">
        <v>2.2400000000000002</v>
      </c>
      <c r="R46" s="87">
        <v>2.48</v>
      </c>
      <c r="S46" s="205">
        <v>2.5299999999999998</v>
      </c>
      <c r="T46" s="46">
        <f>(T37*1000)/T52</f>
        <v>2.7880092933643112</v>
      </c>
      <c r="U46" s="100">
        <v>2.76</v>
      </c>
      <c r="V46" s="100">
        <v>2.35</v>
      </c>
      <c r="W46" s="100">
        <v>2.67</v>
      </c>
      <c r="X46" s="100">
        <v>3.01</v>
      </c>
      <c r="Y46" s="100">
        <v>2.68</v>
      </c>
      <c r="Z46" s="100">
        <v>2.4700000000000002</v>
      </c>
      <c r="AA46" s="100">
        <v>2.54</v>
      </c>
      <c r="AB46" s="100">
        <v>2.79</v>
      </c>
      <c r="AC46" s="100">
        <v>1.93</v>
      </c>
      <c r="AD46" s="87">
        <v>1.92</v>
      </c>
      <c r="AE46" s="205">
        <v>1.75</v>
      </c>
      <c r="AF46" s="100">
        <v>2.4812237033541744</v>
      </c>
      <c r="AG46" s="100">
        <v>1.7907886554522627</v>
      </c>
      <c r="AH46" s="533"/>
      <c r="AI46" s="534">
        <v>6.7192930135177082</v>
      </c>
      <c r="AJ46" s="534">
        <v>0.85</v>
      </c>
      <c r="AK46" s="534">
        <v>0.18</v>
      </c>
      <c r="AL46" s="534">
        <v>6.79</v>
      </c>
      <c r="AM46" s="534">
        <v>10.55</v>
      </c>
      <c r="AN46" s="534">
        <v>10.7</v>
      </c>
      <c r="AO46" s="534">
        <v>9.73</v>
      </c>
      <c r="AP46" s="558">
        <v>7.9463376466101261</v>
      </c>
    </row>
    <row r="47" spans="1:42" ht="27" customHeight="1" x14ac:dyDescent="0.35">
      <c r="A47" s="7" t="s">
        <v>108</v>
      </c>
      <c r="B47" s="235">
        <v>0</v>
      </c>
      <c r="C47" s="240">
        <v>0</v>
      </c>
      <c r="D47" s="240">
        <v>0</v>
      </c>
      <c r="E47" s="157" t="s">
        <v>91</v>
      </c>
      <c r="F47" s="235" t="s">
        <v>91</v>
      </c>
      <c r="G47" s="240">
        <v>0</v>
      </c>
      <c r="H47" s="240">
        <v>0</v>
      </c>
      <c r="I47" s="157" t="s">
        <v>91</v>
      </c>
      <c r="J47" s="235">
        <v>0</v>
      </c>
      <c r="K47" s="240">
        <v>0</v>
      </c>
      <c r="L47" s="240">
        <v>0</v>
      </c>
      <c r="M47" s="341">
        <v>0</v>
      </c>
      <c r="N47" s="235">
        <v>0</v>
      </c>
      <c r="O47" s="240">
        <v>0</v>
      </c>
      <c r="P47" s="240">
        <v>0</v>
      </c>
      <c r="Q47" s="341">
        <v>0</v>
      </c>
      <c r="R47" s="235">
        <v>0</v>
      </c>
      <c r="S47" s="240">
        <v>0</v>
      </c>
      <c r="T47" s="240">
        <v>0</v>
      </c>
      <c r="U47" s="341">
        <v>0</v>
      </c>
      <c r="V47" s="341">
        <v>0</v>
      </c>
      <c r="W47" s="341">
        <v>0</v>
      </c>
      <c r="X47" s="341">
        <v>0</v>
      </c>
      <c r="Y47" s="341">
        <v>0</v>
      </c>
      <c r="Z47" s="341">
        <v>0</v>
      </c>
      <c r="AA47" s="341">
        <v>0</v>
      </c>
      <c r="AB47" s="535">
        <v>0</v>
      </c>
      <c r="AC47" s="535">
        <v>0</v>
      </c>
      <c r="AD47" s="235">
        <v>0</v>
      </c>
      <c r="AE47" s="240">
        <v>0</v>
      </c>
      <c r="AF47" s="535">
        <v>0</v>
      </c>
      <c r="AG47" s="535">
        <v>0</v>
      </c>
      <c r="AH47" s="533"/>
      <c r="AI47" s="536" t="s">
        <v>91</v>
      </c>
      <c r="AJ47" s="536">
        <v>0</v>
      </c>
      <c r="AK47" s="536">
        <v>0</v>
      </c>
      <c r="AL47" s="536">
        <v>0</v>
      </c>
      <c r="AM47" s="536">
        <v>0</v>
      </c>
      <c r="AN47" s="536">
        <v>0</v>
      </c>
      <c r="AO47" s="536">
        <v>0</v>
      </c>
      <c r="AP47" s="559">
        <v>0</v>
      </c>
    </row>
    <row r="48" spans="1:42" ht="13.7" customHeight="1" x14ac:dyDescent="0.35">
      <c r="A48" s="7" t="s">
        <v>98</v>
      </c>
      <c r="B48" s="87">
        <v>0.17</v>
      </c>
      <c r="C48" s="205">
        <v>0.16</v>
      </c>
      <c r="D48" s="46">
        <v>5.6</v>
      </c>
      <c r="E48" s="100">
        <v>0.93576134017298018</v>
      </c>
      <c r="F48" s="87">
        <v>-7.0000000000000007E-2</v>
      </c>
      <c r="G48" s="205">
        <v>0.14000000000000001</v>
      </c>
      <c r="H48" s="46">
        <v>0.38</v>
      </c>
      <c r="I48" s="100">
        <v>0.4</v>
      </c>
      <c r="J48" s="87">
        <v>-0.08</v>
      </c>
      <c r="K48" s="205">
        <v>-0.77</v>
      </c>
      <c r="L48" s="46">
        <v>-0.08</v>
      </c>
      <c r="M48" s="100">
        <v>1.08</v>
      </c>
      <c r="N48" s="87">
        <v>1.25</v>
      </c>
      <c r="O48" s="205">
        <v>1.42</v>
      </c>
      <c r="P48" s="46">
        <v>1.91</v>
      </c>
      <c r="Q48" s="100">
        <v>2.2400000000000002</v>
      </c>
      <c r="R48" s="87">
        <v>2.48</v>
      </c>
      <c r="S48" s="205">
        <v>2.5299999999999998</v>
      </c>
      <c r="T48" s="46">
        <v>2.79</v>
      </c>
      <c r="U48" s="100">
        <v>2.76</v>
      </c>
      <c r="V48" s="100">
        <v>2.35</v>
      </c>
      <c r="W48" s="100">
        <v>2.67</v>
      </c>
      <c r="X48" s="100">
        <v>3.01</v>
      </c>
      <c r="Y48" s="100">
        <v>2.68</v>
      </c>
      <c r="Z48" s="100">
        <v>2.4700000000000002</v>
      </c>
      <c r="AA48" s="100">
        <v>2.54</v>
      </c>
      <c r="AB48" s="100">
        <v>2.79</v>
      </c>
      <c r="AC48" s="100">
        <v>1.93</v>
      </c>
      <c r="AD48" s="87">
        <v>1.92</v>
      </c>
      <c r="AE48" s="205">
        <v>1.75</v>
      </c>
      <c r="AF48" s="100">
        <v>2.4812237033541744</v>
      </c>
      <c r="AG48" s="100">
        <v>1.7907886554522627</v>
      </c>
      <c r="AH48" s="533"/>
      <c r="AI48" s="534">
        <v>6.7192930135177082</v>
      </c>
      <c r="AJ48" s="534">
        <v>0.85</v>
      </c>
      <c r="AK48" s="534">
        <v>0.18</v>
      </c>
      <c r="AL48" s="534">
        <v>6.79</v>
      </c>
      <c r="AM48" s="534">
        <v>10.55</v>
      </c>
      <c r="AN48" s="534">
        <v>10.7</v>
      </c>
      <c r="AO48" s="534">
        <v>9.73</v>
      </c>
      <c r="AP48" s="558">
        <v>7.9463376466101261</v>
      </c>
    </row>
    <row r="49" spans="1:42" ht="13.7" customHeight="1" x14ac:dyDescent="0.35">
      <c r="A49" s="7"/>
      <c r="B49" s="58"/>
      <c r="C49" s="199"/>
      <c r="D49" s="16"/>
      <c r="E49" s="57"/>
      <c r="F49" s="58"/>
      <c r="G49" s="199"/>
      <c r="H49" s="16"/>
      <c r="I49" s="57"/>
      <c r="J49" s="58"/>
      <c r="K49" s="199"/>
      <c r="L49" s="16"/>
      <c r="M49" s="57"/>
      <c r="N49" s="58"/>
      <c r="O49" s="199"/>
      <c r="P49" s="16"/>
      <c r="Q49" s="57"/>
      <c r="R49" s="58"/>
      <c r="S49" s="199"/>
      <c r="T49" s="16"/>
      <c r="U49" s="57"/>
      <c r="V49" s="57"/>
      <c r="W49" s="57"/>
      <c r="X49" s="57"/>
      <c r="Y49" s="57"/>
      <c r="Z49" s="57"/>
      <c r="AA49" s="57"/>
      <c r="AB49" s="57"/>
      <c r="AC49" s="57"/>
      <c r="AD49" s="58"/>
      <c r="AE49" s="199"/>
      <c r="AF49" s="57"/>
      <c r="AG49" s="57"/>
      <c r="AI49" s="3"/>
      <c r="AJ49" s="3"/>
      <c r="AK49" s="3"/>
      <c r="AL49" s="3"/>
      <c r="AM49" s="3"/>
      <c r="AN49" s="3"/>
      <c r="AO49" s="3"/>
      <c r="AP49" s="560"/>
    </row>
    <row r="50" spans="1:42" ht="40.700000000000003" customHeight="1" x14ac:dyDescent="0.35">
      <c r="A50" s="7" t="s">
        <v>109</v>
      </c>
      <c r="B50" s="58"/>
      <c r="C50" s="199"/>
      <c r="D50" s="16"/>
      <c r="E50" s="57"/>
      <c r="F50" s="58"/>
      <c r="G50" s="199"/>
      <c r="H50" s="16"/>
      <c r="I50" s="57"/>
      <c r="J50" s="58"/>
      <c r="K50" s="199"/>
      <c r="L50" s="16"/>
      <c r="M50" s="57"/>
      <c r="N50" s="58"/>
      <c r="O50" s="199"/>
      <c r="P50" s="16"/>
      <c r="Q50" s="57"/>
      <c r="R50" s="58"/>
      <c r="S50" s="199"/>
      <c r="T50" s="16"/>
      <c r="U50" s="57"/>
      <c r="V50" s="57"/>
      <c r="W50" s="57"/>
      <c r="X50" s="57"/>
      <c r="Y50" s="57"/>
      <c r="Z50" s="57"/>
      <c r="AA50" s="57"/>
      <c r="AB50" s="57"/>
      <c r="AC50" s="57"/>
      <c r="AD50" s="58"/>
      <c r="AE50" s="199"/>
      <c r="AF50" s="57"/>
      <c r="AG50" s="57"/>
      <c r="AI50" s="3"/>
      <c r="AJ50" s="3"/>
      <c r="AK50" s="3"/>
      <c r="AL50" s="3"/>
      <c r="AM50" s="3"/>
      <c r="AN50" s="3"/>
      <c r="AO50" s="3"/>
      <c r="AP50" s="560"/>
    </row>
    <row r="51" spans="1:42" ht="13.7" customHeight="1" x14ac:dyDescent="0.35">
      <c r="A51" s="7" t="s">
        <v>110</v>
      </c>
      <c r="B51" s="88">
        <v>343661</v>
      </c>
      <c r="C51" s="206">
        <v>344120</v>
      </c>
      <c r="D51" s="47">
        <v>322533</v>
      </c>
      <c r="E51" s="101">
        <v>293170</v>
      </c>
      <c r="F51" s="88">
        <v>287227</v>
      </c>
      <c r="G51" s="206">
        <v>281241</v>
      </c>
      <c r="H51" s="47">
        <v>279074</v>
      </c>
      <c r="I51" s="101">
        <v>280766</v>
      </c>
      <c r="J51" s="88">
        <v>279933</v>
      </c>
      <c r="K51" s="206">
        <v>279142</v>
      </c>
      <c r="L51" s="47">
        <v>279467</v>
      </c>
      <c r="M51" s="101">
        <v>280484</v>
      </c>
      <c r="N51" s="88">
        <v>277526</v>
      </c>
      <c r="O51" s="206">
        <v>272686</v>
      </c>
      <c r="P51" s="47">
        <v>266557</v>
      </c>
      <c r="Q51" s="101">
        <v>265642</v>
      </c>
      <c r="R51" s="88">
        <v>263089</v>
      </c>
      <c r="S51" s="206">
        <v>262579</v>
      </c>
      <c r="T51" s="47">
        <v>262180</v>
      </c>
      <c r="U51" s="101">
        <v>259618</v>
      </c>
      <c r="V51" s="101">
        <v>259576</v>
      </c>
      <c r="W51" s="101">
        <v>259160</v>
      </c>
      <c r="X51" s="101">
        <v>257488</v>
      </c>
      <c r="Y51" s="101">
        <v>257285</v>
      </c>
      <c r="Z51" s="101">
        <v>256567</v>
      </c>
      <c r="AA51" s="101">
        <v>255478</v>
      </c>
      <c r="AB51" s="101">
        <v>254458</v>
      </c>
      <c r="AC51" s="101">
        <v>254349</v>
      </c>
      <c r="AD51" s="88">
        <v>253709</v>
      </c>
      <c r="AE51" s="206">
        <v>252418</v>
      </c>
      <c r="AF51" s="101">
        <v>252170</v>
      </c>
      <c r="AG51" s="101">
        <v>252544</v>
      </c>
      <c r="AH51" s="537"/>
      <c r="AI51" s="193">
        <v>325781</v>
      </c>
      <c r="AJ51" s="193">
        <v>282056</v>
      </c>
      <c r="AK51" s="193">
        <v>279763</v>
      </c>
      <c r="AL51" s="193">
        <v>270687</v>
      </c>
      <c r="AM51" s="193">
        <v>261879</v>
      </c>
      <c r="AN51" s="193">
        <v>258381</v>
      </c>
      <c r="AO51" s="193">
        <v>255208</v>
      </c>
      <c r="AP51" s="561">
        <v>252703</v>
      </c>
    </row>
    <row r="52" spans="1:42" ht="13.7" customHeight="1" x14ac:dyDescent="0.35">
      <c r="A52" s="7" t="s">
        <v>111</v>
      </c>
      <c r="B52" s="88">
        <v>346899</v>
      </c>
      <c r="C52" s="206">
        <v>347027</v>
      </c>
      <c r="D52" s="47">
        <v>325267</v>
      </c>
      <c r="E52" s="101">
        <v>294947</v>
      </c>
      <c r="F52" s="88">
        <v>287227</v>
      </c>
      <c r="G52" s="206">
        <v>285088</v>
      </c>
      <c r="H52" s="47">
        <v>283518</v>
      </c>
      <c r="I52" s="101">
        <v>285518</v>
      </c>
      <c r="J52" s="88">
        <v>279933</v>
      </c>
      <c r="K52" s="206">
        <v>279142</v>
      </c>
      <c r="L52" s="47">
        <v>279467</v>
      </c>
      <c r="M52" s="101">
        <v>285258</v>
      </c>
      <c r="N52" s="88">
        <v>283263</v>
      </c>
      <c r="O52" s="206">
        <v>278735</v>
      </c>
      <c r="P52" s="47">
        <v>271359</v>
      </c>
      <c r="Q52" s="101">
        <v>268545</v>
      </c>
      <c r="R52" s="88">
        <v>265109</v>
      </c>
      <c r="S52" s="206">
        <v>264692</v>
      </c>
      <c r="T52" s="47">
        <v>264705</v>
      </c>
      <c r="U52" s="101">
        <v>261448</v>
      </c>
      <c r="V52" s="101">
        <v>261210</v>
      </c>
      <c r="W52" s="101">
        <v>261303</v>
      </c>
      <c r="X52" s="101">
        <v>261095</v>
      </c>
      <c r="Y52" s="101">
        <v>260298</v>
      </c>
      <c r="Z52" s="101">
        <v>258954</v>
      </c>
      <c r="AA52" s="101">
        <v>258732</v>
      </c>
      <c r="AB52" s="101">
        <v>257717</v>
      </c>
      <c r="AC52" s="101">
        <v>256628</v>
      </c>
      <c r="AD52" s="88">
        <v>255018</v>
      </c>
      <c r="AE52" s="206">
        <v>253844</v>
      </c>
      <c r="AF52" s="101">
        <v>254310</v>
      </c>
      <c r="AG52" s="101">
        <v>254078</v>
      </c>
      <c r="AH52" s="537"/>
      <c r="AI52" s="193">
        <v>328606</v>
      </c>
      <c r="AJ52" s="193">
        <v>285911</v>
      </c>
      <c r="AK52" s="193">
        <v>283809</v>
      </c>
      <c r="AL52" s="193">
        <v>275646</v>
      </c>
      <c r="AM52" s="193">
        <v>264053</v>
      </c>
      <c r="AN52" s="193">
        <v>261370</v>
      </c>
      <c r="AO52" s="193">
        <v>257848</v>
      </c>
      <c r="AP52" s="561">
        <v>254331</v>
      </c>
    </row>
    <row r="53" spans="1:42" ht="13.7" customHeight="1" x14ac:dyDescent="0.35">
      <c r="A53" s="7"/>
      <c r="B53" s="88"/>
      <c r="C53" s="206"/>
      <c r="D53" s="47"/>
      <c r="E53" s="101"/>
      <c r="F53" s="88"/>
      <c r="G53" s="206"/>
      <c r="H53" s="47"/>
      <c r="I53" s="101"/>
      <c r="J53" s="88"/>
      <c r="K53" s="206"/>
      <c r="L53" s="47"/>
      <c r="M53" s="101"/>
      <c r="N53" s="88"/>
      <c r="O53" s="206"/>
      <c r="P53" s="47"/>
      <c r="Q53" s="101"/>
      <c r="R53" s="88"/>
      <c r="S53" s="206"/>
      <c r="T53" s="47"/>
      <c r="U53" s="101"/>
      <c r="V53" s="101"/>
      <c r="W53" s="101"/>
      <c r="X53" s="101"/>
      <c r="Y53" s="101"/>
      <c r="Z53" s="101"/>
      <c r="AA53" s="101"/>
      <c r="AB53" s="101"/>
      <c r="AC53" s="101"/>
      <c r="AD53" s="88"/>
      <c r="AE53" s="206"/>
      <c r="AF53" s="101"/>
      <c r="AG53" s="101"/>
      <c r="AH53" s="537"/>
      <c r="AI53" s="193"/>
      <c r="AJ53" s="193"/>
      <c r="AK53" s="193"/>
      <c r="AL53" s="193"/>
      <c r="AM53" s="193"/>
      <c r="AN53" s="193"/>
      <c r="AO53" s="193"/>
      <c r="AP53" s="561"/>
    </row>
    <row r="54" spans="1:42" ht="13.7" customHeight="1" x14ac:dyDescent="0.35">
      <c r="A54" s="7" t="s">
        <v>112</v>
      </c>
      <c r="B54" s="88"/>
      <c r="C54" s="206"/>
      <c r="D54" s="305">
        <v>0.25</v>
      </c>
      <c r="E54" s="311">
        <v>0.25</v>
      </c>
      <c r="F54" s="305">
        <v>0.25</v>
      </c>
      <c r="G54" s="305">
        <v>0.25</v>
      </c>
      <c r="H54" s="335">
        <v>0.375</v>
      </c>
      <c r="I54" s="336">
        <v>0.375</v>
      </c>
      <c r="J54" s="335">
        <v>0.375</v>
      </c>
      <c r="K54" s="335">
        <v>0.375</v>
      </c>
      <c r="L54" s="335">
        <v>0.375</v>
      </c>
      <c r="M54" s="336">
        <v>0.375</v>
      </c>
      <c r="N54" s="349">
        <v>0.5625</v>
      </c>
      <c r="O54" s="349">
        <v>0.5625</v>
      </c>
      <c r="P54" s="349">
        <v>0.5625</v>
      </c>
      <c r="Q54" s="354">
        <v>0.5625</v>
      </c>
      <c r="R54" s="349">
        <v>0.84499999999999997</v>
      </c>
      <c r="S54" s="349">
        <v>0.84499999999999997</v>
      </c>
      <c r="T54" s="349">
        <v>0.84499999999999997</v>
      </c>
      <c r="U54" s="354">
        <v>0.84499999999999997</v>
      </c>
      <c r="V54" s="354">
        <v>1.014</v>
      </c>
      <c r="W54" s="354">
        <v>1.014</v>
      </c>
      <c r="X54" s="354">
        <v>1.014</v>
      </c>
      <c r="Y54" s="354">
        <v>1.014</v>
      </c>
      <c r="Z54" s="354">
        <v>1.014</v>
      </c>
      <c r="AA54" s="354">
        <v>1.014</v>
      </c>
      <c r="AB54" s="354">
        <v>1.014</v>
      </c>
      <c r="AC54" s="354">
        <v>1.014</v>
      </c>
      <c r="AD54" s="349">
        <v>1.014</v>
      </c>
      <c r="AE54" s="349">
        <v>1.014</v>
      </c>
      <c r="AF54" s="354">
        <v>1.014</v>
      </c>
      <c r="AG54" s="354">
        <v>1.014</v>
      </c>
      <c r="AH54" s="537"/>
      <c r="AI54" s="312">
        <v>0.5</v>
      </c>
      <c r="AJ54" s="312">
        <f>SUM(F54:I54)</f>
        <v>1.25</v>
      </c>
      <c r="AK54" s="312">
        <v>1.5</v>
      </c>
      <c r="AL54" s="312">
        <v>2.25</v>
      </c>
      <c r="AM54" s="370">
        <f>SUM(R54:U54)</f>
        <v>3.38</v>
      </c>
      <c r="AN54" s="370">
        <v>4.056</v>
      </c>
      <c r="AO54" s="370">
        <v>4.056</v>
      </c>
      <c r="AP54" s="562">
        <v>4.056</v>
      </c>
    </row>
    <row r="55" spans="1:42" ht="13.7" customHeight="1" thickBot="1" x14ac:dyDescent="0.4">
      <c r="A55" s="9"/>
      <c r="B55" s="214"/>
      <c r="C55" s="207"/>
      <c r="D55" s="17"/>
      <c r="E55" s="102"/>
      <c r="F55" s="214"/>
      <c r="G55" s="207"/>
      <c r="H55" s="17"/>
      <c r="I55" s="102"/>
      <c r="J55" s="214"/>
      <c r="K55" s="207"/>
      <c r="L55" s="17"/>
      <c r="M55" s="102"/>
      <c r="N55" s="214"/>
      <c r="O55" s="207"/>
      <c r="P55" s="17"/>
      <c r="Q55" s="102"/>
      <c r="R55" s="214"/>
      <c r="S55" s="207"/>
      <c r="T55" s="17"/>
      <c r="U55" s="102"/>
      <c r="V55" s="102"/>
      <c r="W55" s="102"/>
      <c r="X55" s="102"/>
      <c r="Y55" s="102"/>
      <c r="Z55" s="102"/>
      <c r="AA55" s="102"/>
      <c r="AB55" s="102"/>
      <c r="AC55" s="102"/>
      <c r="AD55" s="214"/>
      <c r="AE55" s="207"/>
      <c r="AF55" s="102"/>
      <c r="AG55" s="102"/>
      <c r="AI55" s="538"/>
      <c r="AJ55" s="538"/>
      <c r="AK55" s="538"/>
      <c r="AL55" s="538"/>
      <c r="AM55" s="538"/>
      <c r="AN55" s="538"/>
      <c r="AO55" s="538"/>
      <c r="AP55" s="538"/>
    </row>
    <row r="57" spans="1:42" x14ac:dyDescent="0.35">
      <c r="A57" s="255"/>
      <c r="AI57" s="296"/>
      <c r="AJ57" s="296"/>
      <c r="AK57" s="296"/>
      <c r="AL57" s="539"/>
      <c r="AM57" s="539"/>
      <c r="AN57" s="539"/>
      <c r="AO57" s="539"/>
      <c r="AP57" s="539"/>
    </row>
    <row r="58" spans="1:42" x14ac:dyDescent="0.35">
      <c r="AI58" s="296"/>
      <c r="AJ58" s="296"/>
      <c r="AK58" s="296"/>
    </row>
    <row r="59" spans="1:42" x14ac:dyDescent="0.35">
      <c r="A59" s="7"/>
    </row>
    <row r="60" spans="1:42" x14ac:dyDescent="0.35">
      <c r="A60" s="7"/>
    </row>
    <row r="61" spans="1:42" x14ac:dyDescent="0.35">
      <c r="A61" s="7"/>
    </row>
    <row r="62" spans="1:42" x14ac:dyDescent="0.35">
      <c r="A62" s="248"/>
    </row>
  </sheetData>
  <customSheetViews>
    <customSheetView guid="{8A3FF670-BD86-44B8-80D6-F16ECD9AAB7E}" showPageBreaks="1" printArea="1" topLeftCell="A28">
      <selection activeCell="L57" sqref="L57"/>
      <pageMargins left="0" right="0" top="0" bottom="0" header="0" footer="0"/>
      <pageSetup scale="65" orientation="portrait" verticalDpi="1200" r:id="rId1"/>
    </customSheetView>
    <customSheetView guid="{3AEE86E9-9A50-484E-B189-6F484AA443A0}" showPageBreaks="1" printArea="1" topLeftCell="A46">
      <selection activeCell="S31" sqref="S31"/>
      <pageMargins left="0" right="0" top="0" bottom="0" header="0" footer="0"/>
      <pageSetup scale="65" orientation="portrait" verticalDpi="1200" r:id="rId2"/>
    </customSheetView>
  </customSheetViews>
  <phoneticPr fontId="12" type="noConversion"/>
  <pageMargins left="0.2" right="0.2" top="0.5" bottom="0.5" header="0" footer="0"/>
  <pageSetup scale="32" orientation="portrait" verticalDpi="1200" r:id="rId3"/>
  <customProperties>
    <customPr name="_pios_id" r:id="rId4"/>
  </customProperties>
  <ignoredErrors>
    <ignoredError sqref="AJ7:AK7 AJ5:AK5 AJ6:AK6 AJ9:AK9 AJ8:AK8 AJ14:AK14 AJ10:AK13 AJ16:AK16 AJ15:AK15 AJ18:AK19 AJ17:AK17 AJ21:AK21 AJ23:AK23 AJ22:AK22 AJ25:AK25 AJ24:AK24 AJ28:AK28 AJ26:AK26 AJ27:AK27 AJ30:AK30 AJ29:AK29 AJ32:AK32 AJ31:AK31 AJ34:AK34 AJ33:AK33 AJ36:AK36 AJ35:AK35 AJ38:AK40 AJ37:AK37 AJ41:AK41 AJ55:AK55 AJ54 AK20 AJ53:AK53 AJ51 AJ52 AJ45 AJ42 AJ43 AJ44 AJ49:AK50 AJ46 AJ47 AJ48 AM5 AM10:AM20 AM6:AM8 AM54 AM22:AM37 AM2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K55"/>
  <sheetViews>
    <sheetView zoomScaleNormal="100" workbookViewId="0">
      <pane xSplit="1" ySplit="6" topLeftCell="B40" activePane="bottomRight" state="frozen"/>
      <selection pane="topRight" activeCell="D43" sqref="D43"/>
      <selection pane="bottomLeft" activeCell="D43" sqref="D43"/>
      <selection pane="bottomRight" activeCell="AA47" sqref="AA47"/>
    </sheetView>
  </sheetViews>
  <sheetFormatPr defaultRowHeight="12.75" outlineLevelCol="1" x14ac:dyDescent="0.35"/>
  <cols>
    <col min="1" max="1" width="37.1328125" customWidth="1"/>
    <col min="2" max="21" width="9.59765625" hidden="1" customWidth="1" outlineLevel="1"/>
    <col min="22" max="29" width="9.59765625" customWidth="1" outlineLevel="1"/>
    <col min="31" max="33" width="9.1328125" customWidth="1"/>
  </cols>
  <sheetData>
    <row r="1" spans="1:37" ht="13.9" x14ac:dyDescent="0.4">
      <c r="A1" s="1" t="s">
        <v>43</v>
      </c>
    </row>
    <row r="2" spans="1:37" ht="14.25" thickBot="1" x14ac:dyDescent="0.45">
      <c r="A2" s="1" t="s">
        <v>113</v>
      </c>
    </row>
    <row r="3" spans="1:37" s="2" customFormat="1" ht="14.25" customHeight="1" thickBot="1" x14ac:dyDescent="0.45">
      <c r="A3" s="8" t="s">
        <v>46</v>
      </c>
      <c r="B3" s="159" t="s">
        <v>47</v>
      </c>
      <c r="C3" s="160" t="s">
        <v>48</v>
      </c>
      <c r="D3" s="160" t="s">
        <v>49</v>
      </c>
      <c r="E3" s="73" t="s">
        <v>50</v>
      </c>
      <c r="F3" s="159" t="s">
        <v>51</v>
      </c>
      <c r="G3" s="160" t="s">
        <v>52</v>
      </c>
      <c r="H3" s="160" t="s">
        <v>53</v>
      </c>
      <c r="I3" s="73" t="s">
        <v>54</v>
      </c>
      <c r="J3" s="159" t="s">
        <v>55</v>
      </c>
      <c r="K3" s="160" t="s">
        <v>56</v>
      </c>
      <c r="L3" s="160" t="s">
        <v>57</v>
      </c>
      <c r="M3" s="73" t="s">
        <v>58</v>
      </c>
      <c r="N3" s="159" t="s">
        <v>59</v>
      </c>
      <c r="O3" s="160" t="s">
        <v>60</v>
      </c>
      <c r="P3" s="160" t="s">
        <v>61</v>
      </c>
      <c r="Q3" s="73" t="s">
        <v>62</v>
      </c>
      <c r="R3" s="159" t="s">
        <v>63</v>
      </c>
      <c r="S3" s="160" t="s">
        <v>64</v>
      </c>
      <c r="T3" s="160" t="s">
        <v>65</v>
      </c>
      <c r="U3" s="73" t="s">
        <v>66</v>
      </c>
      <c r="V3" s="159" t="s">
        <v>67</v>
      </c>
      <c r="W3" s="160" t="s">
        <v>68</v>
      </c>
      <c r="X3" s="160" t="s">
        <v>69</v>
      </c>
      <c r="Y3" s="73" t="s">
        <v>70</v>
      </c>
      <c r="Z3" s="159" t="s">
        <v>71</v>
      </c>
      <c r="AA3" s="160" t="s">
        <v>72</v>
      </c>
      <c r="AB3" s="160" t="s">
        <v>73</v>
      </c>
      <c r="AC3" s="73" t="s">
        <v>74</v>
      </c>
      <c r="AD3" s="159" t="s">
        <v>75</v>
      </c>
      <c r="AE3" s="160" t="s">
        <v>76</v>
      </c>
      <c r="AF3" s="160" t="s">
        <v>77</v>
      </c>
      <c r="AG3" s="73" t="s">
        <v>78</v>
      </c>
    </row>
    <row r="4" spans="1:37" ht="10.15" customHeight="1" x14ac:dyDescent="0.35">
      <c r="A4" s="4"/>
      <c r="B4" s="199"/>
      <c r="C4" s="199"/>
      <c r="D4" s="189"/>
      <c r="E4" s="18"/>
      <c r="F4" s="199"/>
      <c r="G4" s="199"/>
      <c r="H4" s="189"/>
      <c r="I4" s="18"/>
      <c r="J4" s="199"/>
      <c r="K4" s="199"/>
      <c r="L4" s="189"/>
      <c r="M4" s="18"/>
      <c r="N4" s="199"/>
      <c r="O4" s="199"/>
      <c r="P4" s="189"/>
      <c r="Q4" s="18"/>
      <c r="R4" s="199"/>
      <c r="S4" s="199"/>
      <c r="T4" s="189"/>
      <c r="U4" s="18"/>
      <c r="V4" s="199"/>
      <c r="W4" s="199"/>
      <c r="X4" s="189"/>
      <c r="Y4" s="18"/>
      <c r="Z4" s="199"/>
      <c r="AA4" s="199"/>
      <c r="AB4" s="189"/>
      <c r="AC4" s="18"/>
      <c r="AD4" s="199"/>
      <c r="AE4" s="199"/>
      <c r="AF4" s="189"/>
      <c r="AG4" s="18"/>
    </row>
    <row r="5" spans="1:37" ht="13.7" customHeight="1" x14ac:dyDescent="0.35">
      <c r="A5" s="6" t="s">
        <v>114</v>
      </c>
      <c r="B5" s="199"/>
      <c r="C5" s="199"/>
      <c r="D5" s="189"/>
      <c r="E5" s="18"/>
      <c r="F5" s="199"/>
      <c r="G5" s="199"/>
      <c r="H5" s="189"/>
      <c r="I5" s="18"/>
      <c r="J5" s="199"/>
      <c r="K5" s="199"/>
      <c r="L5" s="189"/>
      <c r="M5" s="18"/>
      <c r="N5" s="199"/>
      <c r="O5" s="199"/>
      <c r="P5" s="189"/>
      <c r="Q5" s="18"/>
      <c r="R5" s="199"/>
      <c r="S5" s="199"/>
      <c r="T5" s="189"/>
      <c r="U5" s="18"/>
      <c r="V5" s="199"/>
      <c r="W5" s="199"/>
      <c r="X5" s="189"/>
      <c r="Y5" s="18"/>
      <c r="Z5" s="199"/>
      <c r="AA5" s="199"/>
      <c r="AB5" s="189"/>
      <c r="AC5" s="18"/>
      <c r="AD5" s="199"/>
      <c r="AE5" s="199"/>
      <c r="AF5" s="189"/>
      <c r="AG5" s="18"/>
    </row>
    <row r="6" spans="1:37" ht="13.7" customHeight="1" x14ac:dyDescent="0.35">
      <c r="A6" s="6" t="s">
        <v>115</v>
      </c>
      <c r="B6" s="199"/>
      <c r="C6" s="199"/>
      <c r="D6" s="189"/>
      <c r="E6" s="18"/>
      <c r="F6" s="199"/>
      <c r="G6" s="199"/>
      <c r="H6" s="189"/>
      <c r="I6" s="18"/>
      <c r="J6" s="199"/>
      <c r="K6" s="199"/>
      <c r="L6" s="189"/>
      <c r="M6" s="18"/>
      <c r="N6" s="199"/>
      <c r="O6" s="199"/>
      <c r="P6" s="189"/>
      <c r="Q6" s="18"/>
      <c r="R6" s="199"/>
      <c r="S6" s="199"/>
      <c r="T6" s="189"/>
      <c r="U6" s="18"/>
      <c r="V6" s="199"/>
      <c r="W6" s="199"/>
      <c r="X6" s="189"/>
      <c r="Y6" s="18"/>
      <c r="Z6" s="199"/>
      <c r="AA6" s="199"/>
      <c r="AB6" s="189"/>
      <c r="AC6" s="18"/>
      <c r="AD6" s="199"/>
      <c r="AE6" s="199"/>
      <c r="AF6" s="189"/>
      <c r="AG6" s="18"/>
    </row>
    <row r="7" spans="1:37" ht="13.7" customHeight="1" x14ac:dyDescent="0.35">
      <c r="A7" s="7" t="s">
        <v>116</v>
      </c>
      <c r="B7" s="91">
        <v>3983</v>
      </c>
      <c r="C7" s="91">
        <v>2981</v>
      </c>
      <c r="D7" s="190">
        <v>1944</v>
      </c>
      <c r="E7" s="45">
        <v>2789</v>
      </c>
      <c r="F7" s="91">
        <v>2192</v>
      </c>
      <c r="G7" s="91">
        <v>3030</v>
      </c>
      <c r="H7" s="190">
        <v>3537</v>
      </c>
      <c r="I7" s="45">
        <v>1045</v>
      </c>
      <c r="J7" s="91">
        <v>1079</v>
      </c>
      <c r="K7" s="91">
        <v>3266</v>
      </c>
      <c r="L7" s="190">
        <v>3566</v>
      </c>
      <c r="M7" s="45">
        <v>2275</v>
      </c>
      <c r="N7" s="91">
        <v>1842</v>
      </c>
      <c r="O7" s="91">
        <v>2910</v>
      </c>
      <c r="P7" s="190">
        <v>2303</v>
      </c>
      <c r="Q7" s="45">
        <v>2830</v>
      </c>
      <c r="R7" s="91">
        <v>2683</v>
      </c>
      <c r="S7" s="91">
        <v>3545</v>
      </c>
      <c r="T7" s="190">
        <v>3759</v>
      </c>
      <c r="U7" s="45">
        <v>3845</v>
      </c>
      <c r="V7" s="91">
        <v>3930</v>
      </c>
      <c r="W7" s="91">
        <v>3863</v>
      </c>
      <c r="X7" s="190">
        <v>4042</v>
      </c>
      <c r="Y7" s="45">
        <v>3862</v>
      </c>
      <c r="Z7" s="91">
        <v>2908</v>
      </c>
      <c r="AA7" s="91">
        <v>2859</v>
      </c>
      <c r="AB7" s="190">
        <v>2748</v>
      </c>
      <c r="AC7" s="45">
        <v>3292</v>
      </c>
      <c r="AD7" s="45">
        <v>3988</v>
      </c>
      <c r="AE7" s="91">
        <v>3170</v>
      </c>
      <c r="AF7" s="190">
        <v>3454</v>
      </c>
      <c r="AG7" s="45">
        <v>3267</v>
      </c>
      <c r="AK7" s="43"/>
    </row>
    <row r="8" spans="1:37" ht="13.7" customHeight="1" x14ac:dyDescent="0.35">
      <c r="A8" s="7" t="s">
        <v>117</v>
      </c>
      <c r="B8" s="91"/>
      <c r="C8" s="91"/>
      <c r="D8" s="190"/>
      <c r="E8" s="45"/>
      <c r="F8" s="91"/>
      <c r="G8" s="91"/>
      <c r="H8" s="190"/>
      <c r="I8" s="45"/>
      <c r="J8" s="91"/>
      <c r="K8" s="91"/>
      <c r="L8" s="190"/>
      <c r="M8" s="45"/>
      <c r="N8" s="91"/>
      <c r="O8" s="91"/>
      <c r="P8" s="190"/>
      <c r="Q8" s="45"/>
      <c r="R8" s="91"/>
      <c r="S8" s="91"/>
      <c r="T8" s="190"/>
      <c r="U8" s="45"/>
      <c r="V8" s="91"/>
      <c r="W8" s="91"/>
      <c r="X8" s="190"/>
      <c r="Y8" s="45">
        <v>409</v>
      </c>
      <c r="Z8" s="91">
        <v>400</v>
      </c>
      <c r="AA8" s="91">
        <v>400</v>
      </c>
      <c r="AB8" s="190">
        <v>400</v>
      </c>
      <c r="AC8" s="512">
        <v>0</v>
      </c>
      <c r="AD8" s="544">
        <v>0</v>
      </c>
      <c r="AE8" s="91">
        <v>0</v>
      </c>
      <c r="AF8" s="190">
        <v>500</v>
      </c>
      <c r="AG8" s="512">
        <v>0</v>
      </c>
      <c r="AK8" s="43"/>
    </row>
    <row r="9" spans="1:37" ht="13.7" customHeight="1" x14ac:dyDescent="0.35">
      <c r="A9" s="7" t="s">
        <v>118</v>
      </c>
      <c r="B9" s="91">
        <v>791</v>
      </c>
      <c r="C9" s="91">
        <v>790</v>
      </c>
      <c r="D9" s="190">
        <v>845</v>
      </c>
      <c r="E9" s="45">
        <v>792</v>
      </c>
      <c r="F9" s="91">
        <v>800</v>
      </c>
      <c r="G9" s="91">
        <v>780</v>
      </c>
      <c r="H9" s="190">
        <v>786</v>
      </c>
      <c r="I9" s="45">
        <v>667</v>
      </c>
      <c r="J9" s="91">
        <v>616</v>
      </c>
      <c r="K9" s="91">
        <v>481</v>
      </c>
      <c r="L9" s="190">
        <v>755</v>
      </c>
      <c r="M9" s="45">
        <v>765</v>
      </c>
      <c r="N9" s="91">
        <v>833</v>
      </c>
      <c r="O9" s="91">
        <v>991</v>
      </c>
      <c r="P9" s="190">
        <v>979</v>
      </c>
      <c r="Q9" s="45">
        <v>923</v>
      </c>
      <c r="R9" s="91">
        <v>925</v>
      </c>
      <c r="S9" s="91">
        <v>996</v>
      </c>
      <c r="T9" s="190">
        <v>1012</v>
      </c>
      <c r="U9" s="45">
        <v>960</v>
      </c>
      <c r="V9" s="91">
        <v>1063</v>
      </c>
      <c r="W9" s="91">
        <v>1061</v>
      </c>
      <c r="X9" s="190">
        <v>939</v>
      </c>
      <c r="Y9" s="45">
        <v>894</v>
      </c>
      <c r="Z9" s="91">
        <v>881</v>
      </c>
      <c r="AA9" s="91">
        <v>927</v>
      </c>
      <c r="AB9" s="190">
        <v>1070</v>
      </c>
      <c r="AC9" s="45">
        <v>1032</v>
      </c>
      <c r="AD9" s="45">
        <v>1060</v>
      </c>
      <c r="AE9" s="91">
        <v>1071</v>
      </c>
      <c r="AF9" s="190">
        <v>1095</v>
      </c>
      <c r="AG9" s="45">
        <v>1055</v>
      </c>
      <c r="AK9" s="43"/>
    </row>
    <row r="10" spans="1:37" ht="13.7" customHeight="1" x14ac:dyDescent="0.35">
      <c r="A10" s="7" t="s">
        <v>119</v>
      </c>
      <c r="B10" s="208" t="s">
        <v>91</v>
      </c>
      <c r="C10" s="91" t="s">
        <v>91</v>
      </c>
      <c r="D10" s="268">
        <v>0</v>
      </c>
      <c r="E10" s="45" t="s">
        <v>91</v>
      </c>
      <c r="F10" s="208" t="s">
        <v>91</v>
      </c>
      <c r="G10" s="91">
        <v>81</v>
      </c>
      <c r="H10" s="268">
        <v>61</v>
      </c>
      <c r="I10" s="45">
        <v>50</v>
      </c>
      <c r="J10" s="268">
        <v>0</v>
      </c>
      <c r="K10" s="268">
        <v>0</v>
      </c>
      <c r="L10" s="268">
        <v>0</v>
      </c>
      <c r="M10" s="342">
        <v>0</v>
      </c>
      <c r="N10" s="268">
        <v>0</v>
      </c>
      <c r="O10" s="268">
        <v>0</v>
      </c>
      <c r="P10" s="268">
        <v>0</v>
      </c>
      <c r="Q10" s="342">
        <v>0</v>
      </c>
      <c r="R10" s="268">
        <v>0</v>
      </c>
      <c r="S10" s="268">
        <v>0</v>
      </c>
      <c r="T10" s="268">
        <v>0</v>
      </c>
      <c r="U10" s="342">
        <v>0</v>
      </c>
      <c r="V10" s="268">
        <v>0</v>
      </c>
      <c r="W10" s="268">
        <v>0</v>
      </c>
      <c r="X10" s="268">
        <v>0</v>
      </c>
      <c r="Y10" s="512">
        <v>0</v>
      </c>
      <c r="Z10" s="268">
        <v>0</v>
      </c>
      <c r="AA10" s="268">
        <v>0</v>
      </c>
      <c r="AB10" s="268">
        <v>0</v>
      </c>
      <c r="AC10" s="512">
        <v>0</v>
      </c>
      <c r="AD10" s="544">
        <v>0</v>
      </c>
      <c r="AE10" s="268">
        <v>294</v>
      </c>
      <c r="AF10" s="268">
        <v>292</v>
      </c>
      <c r="AG10" s="571">
        <v>372</v>
      </c>
      <c r="AK10" s="43"/>
    </row>
    <row r="11" spans="1:37" ht="13.7" customHeight="1" x14ac:dyDescent="0.35">
      <c r="A11" s="7" t="s">
        <v>120</v>
      </c>
      <c r="B11" s="91">
        <v>1251</v>
      </c>
      <c r="C11" s="91">
        <v>1326</v>
      </c>
      <c r="D11" s="190">
        <v>1284</v>
      </c>
      <c r="E11" s="45">
        <v>1279</v>
      </c>
      <c r="F11" s="91">
        <v>1241</v>
      </c>
      <c r="G11" s="91">
        <v>1144</v>
      </c>
      <c r="H11" s="190">
        <v>1134</v>
      </c>
      <c r="I11" s="45">
        <v>1192</v>
      </c>
      <c r="J11" s="91">
        <v>1227</v>
      </c>
      <c r="K11" s="91">
        <v>1228</v>
      </c>
      <c r="L11" s="190">
        <v>1064</v>
      </c>
      <c r="M11" s="45">
        <v>1030</v>
      </c>
      <c r="N11" s="91">
        <v>1056</v>
      </c>
      <c r="O11" s="91">
        <v>1116</v>
      </c>
      <c r="P11" s="190">
        <v>1173</v>
      </c>
      <c r="Q11" s="45">
        <v>1189</v>
      </c>
      <c r="R11" s="91">
        <v>1311</v>
      </c>
      <c r="S11" s="91">
        <v>1462</v>
      </c>
      <c r="T11" s="190">
        <v>1581</v>
      </c>
      <c r="U11" s="45">
        <v>1782</v>
      </c>
      <c r="V11" s="91">
        <v>1977</v>
      </c>
      <c r="W11" s="91">
        <v>2107</v>
      </c>
      <c r="X11" s="190">
        <v>2140</v>
      </c>
      <c r="Y11" s="45">
        <v>2134</v>
      </c>
      <c r="Z11" s="91">
        <v>2102</v>
      </c>
      <c r="AA11" s="91">
        <v>2148</v>
      </c>
      <c r="AB11" s="190">
        <v>2234</v>
      </c>
      <c r="AC11" s="45">
        <v>2356</v>
      </c>
      <c r="AD11" s="45">
        <v>2350</v>
      </c>
      <c r="AE11" s="91">
        <v>2361</v>
      </c>
      <c r="AF11" s="190">
        <v>2452</v>
      </c>
      <c r="AG11" s="45">
        <v>2577</v>
      </c>
      <c r="AK11" s="43"/>
    </row>
    <row r="12" spans="1:37" ht="13.7" customHeight="1" x14ac:dyDescent="0.35">
      <c r="A12" s="7" t="s">
        <v>121</v>
      </c>
      <c r="B12" s="91">
        <v>536</v>
      </c>
      <c r="C12" s="91">
        <v>414</v>
      </c>
      <c r="D12" s="190">
        <v>330</v>
      </c>
      <c r="E12" s="45">
        <v>365</v>
      </c>
      <c r="F12" s="91">
        <v>387</v>
      </c>
      <c r="G12" s="91">
        <v>396</v>
      </c>
      <c r="H12" s="190">
        <v>426</v>
      </c>
      <c r="I12" s="45">
        <v>313</v>
      </c>
      <c r="J12" s="91">
        <v>327</v>
      </c>
      <c r="K12" s="91">
        <v>240</v>
      </c>
      <c r="L12" s="190">
        <v>219</v>
      </c>
      <c r="M12" s="45">
        <v>254</v>
      </c>
      <c r="N12" s="91">
        <v>293</v>
      </c>
      <c r="O12" s="91">
        <v>274</v>
      </c>
      <c r="P12" s="190">
        <v>266</v>
      </c>
      <c r="Q12" s="45">
        <v>286</v>
      </c>
      <c r="R12" s="91">
        <v>356</v>
      </c>
      <c r="S12" s="91">
        <v>317</v>
      </c>
      <c r="T12" s="190">
        <v>351</v>
      </c>
      <c r="U12" s="45">
        <v>348</v>
      </c>
      <c r="V12" s="91">
        <v>387</v>
      </c>
      <c r="W12" s="91">
        <f>407+9</f>
        <v>416</v>
      </c>
      <c r="X12" s="190">
        <f>486+9</f>
        <v>495</v>
      </c>
      <c r="Y12" s="45">
        <v>565</v>
      </c>
      <c r="Z12" s="91">
        <v>603</v>
      </c>
      <c r="AA12" s="91">
        <v>546</v>
      </c>
      <c r="AB12" s="190">
        <v>574</v>
      </c>
      <c r="AC12" s="45">
        <v>625</v>
      </c>
      <c r="AD12" s="45">
        <v>627</v>
      </c>
      <c r="AE12" s="91">
        <v>790</v>
      </c>
      <c r="AF12" s="190">
        <v>716</v>
      </c>
      <c r="AG12" s="45">
        <v>669</v>
      </c>
      <c r="AK12" s="43"/>
    </row>
    <row r="13" spans="1:37" ht="13.7" customHeight="1" x14ac:dyDescent="0.35">
      <c r="A13" s="6" t="s">
        <v>122</v>
      </c>
      <c r="B13" s="200">
        <v>6561</v>
      </c>
      <c r="C13" s="200">
        <v>5511</v>
      </c>
      <c r="D13" s="191">
        <v>4403</v>
      </c>
      <c r="E13" s="49">
        <v>5225</v>
      </c>
      <c r="F13" s="200">
        <v>4620</v>
      </c>
      <c r="G13" s="200">
        <v>5431</v>
      </c>
      <c r="H13" s="191">
        <v>5944</v>
      </c>
      <c r="I13" s="49">
        <v>3267</v>
      </c>
      <c r="J13" s="200">
        <v>3249</v>
      </c>
      <c r="K13" s="200">
        <v>5215</v>
      </c>
      <c r="L13" s="191">
        <v>5604</v>
      </c>
      <c r="M13" s="49">
        <v>4324</v>
      </c>
      <c r="N13" s="200">
        <v>4024</v>
      </c>
      <c r="O13" s="200">
        <v>5291</v>
      </c>
      <c r="P13" s="191">
        <v>4721</v>
      </c>
      <c r="Q13" s="49">
        <v>5228</v>
      </c>
      <c r="R13" s="200">
        <v>5275</v>
      </c>
      <c r="S13" s="200">
        <v>6320</v>
      </c>
      <c r="T13" s="191">
        <v>6703</v>
      </c>
      <c r="U13" s="49">
        <v>6935</v>
      </c>
      <c r="V13" s="200">
        <v>7357</v>
      </c>
      <c r="W13" s="200">
        <v>7447</v>
      </c>
      <c r="X13" s="191">
        <v>7616</v>
      </c>
      <c r="Y13" s="49">
        <v>7864</v>
      </c>
      <c r="Z13" s="200">
        <v>6894</v>
      </c>
      <c r="AA13" s="200">
        <v>6880</v>
      </c>
      <c r="AB13" s="191">
        <v>7026</v>
      </c>
      <c r="AC13" s="49">
        <v>7305</v>
      </c>
      <c r="AD13" s="49">
        <f>SUM(AD7:AD12)</f>
        <v>8025</v>
      </c>
      <c r="AE13" s="200">
        <f>SUM(AE7:AE12)</f>
        <v>7686</v>
      </c>
      <c r="AF13" s="191">
        <v>8509</v>
      </c>
      <c r="AG13" s="49">
        <v>7940</v>
      </c>
      <c r="AK13" s="43"/>
    </row>
    <row r="14" spans="1:37" ht="10.15" customHeight="1" x14ac:dyDescent="0.35">
      <c r="A14" s="6"/>
      <c r="B14" s="91"/>
      <c r="C14" s="91"/>
      <c r="D14" s="190"/>
      <c r="E14" s="45"/>
      <c r="F14" s="91"/>
      <c r="G14" s="91"/>
      <c r="H14" s="190"/>
      <c r="I14" s="45"/>
      <c r="J14" s="91"/>
      <c r="K14" s="91"/>
      <c r="L14" s="190"/>
      <c r="M14" s="45"/>
      <c r="N14" s="91"/>
      <c r="O14" s="91"/>
      <c r="P14" s="190"/>
      <c r="Q14" s="45"/>
      <c r="R14" s="91"/>
      <c r="S14" s="91"/>
      <c r="T14" s="190"/>
      <c r="U14" s="45"/>
      <c r="V14" s="91"/>
      <c r="W14" s="91"/>
      <c r="X14" s="190"/>
      <c r="Y14" s="45"/>
      <c r="Z14" s="91"/>
      <c r="AA14" s="91"/>
      <c r="AB14" s="190"/>
      <c r="AC14" s="45"/>
      <c r="AD14" s="45"/>
      <c r="AE14" s="91"/>
      <c r="AF14" s="190"/>
      <c r="AG14" s="45"/>
      <c r="AK14" s="43"/>
    </row>
    <row r="15" spans="1:37" ht="13.7" customHeight="1" x14ac:dyDescent="0.35">
      <c r="A15" s="6" t="s">
        <v>123</v>
      </c>
      <c r="B15" s="91"/>
      <c r="C15" s="91"/>
      <c r="D15" s="190"/>
      <c r="E15" s="45"/>
      <c r="F15" s="91"/>
      <c r="G15" s="91"/>
      <c r="H15" s="190"/>
      <c r="I15" s="45"/>
      <c r="J15" s="91"/>
      <c r="K15" s="91"/>
      <c r="L15" s="190"/>
      <c r="M15" s="45"/>
      <c r="N15" s="91"/>
      <c r="O15" s="91"/>
      <c r="P15" s="190"/>
      <c r="Q15" s="45"/>
      <c r="R15" s="91"/>
      <c r="S15" s="91"/>
      <c r="T15" s="190"/>
      <c r="U15" s="45"/>
      <c r="V15" s="91"/>
      <c r="W15" s="91"/>
      <c r="X15" s="190"/>
      <c r="Y15" s="45"/>
      <c r="Z15" s="91"/>
      <c r="AA15" s="91"/>
      <c r="AB15" s="190"/>
      <c r="AC15" s="45"/>
      <c r="AD15" s="45"/>
      <c r="AE15" s="91"/>
      <c r="AF15" s="190"/>
      <c r="AG15" s="45"/>
      <c r="AK15" s="43"/>
    </row>
    <row r="16" spans="1:37" ht="13.7" customHeight="1" x14ac:dyDescent="0.35">
      <c r="A16" s="7" t="s">
        <v>124</v>
      </c>
      <c r="B16" s="91"/>
      <c r="C16" s="91"/>
      <c r="D16" s="190"/>
      <c r="E16" s="45"/>
      <c r="F16" s="91"/>
      <c r="G16" s="91"/>
      <c r="H16" s="190"/>
      <c r="I16" s="45"/>
      <c r="J16" s="91"/>
      <c r="K16" s="91"/>
      <c r="L16" s="190"/>
      <c r="M16" s="45"/>
      <c r="N16" s="91"/>
      <c r="O16" s="91"/>
      <c r="P16" s="190"/>
      <c r="Q16" s="45"/>
      <c r="R16" s="91"/>
      <c r="S16" s="91"/>
      <c r="T16" s="190"/>
      <c r="U16" s="45"/>
      <c r="V16" s="91"/>
      <c r="W16" s="91"/>
      <c r="X16" s="190"/>
      <c r="Y16" s="45"/>
      <c r="Z16" s="91"/>
      <c r="AA16" s="91"/>
      <c r="AB16" s="190"/>
      <c r="AC16" s="45"/>
      <c r="AD16" s="45"/>
      <c r="AE16" s="91"/>
      <c r="AF16" s="190"/>
      <c r="AG16" s="45"/>
      <c r="AK16" s="43"/>
    </row>
    <row r="17" spans="1:37" ht="13.7" customHeight="1" x14ac:dyDescent="0.35">
      <c r="A17" s="7" t="s">
        <v>125</v>
      </c>
      <c r="B17" s="208" t="s">
        <v>91</v>
      </c>
      <c r="C17" s="268">
        <v>0</v>
      </c>
      <c r="D17" s="268">
        <v>0</v>
      </c>
      <c r="E17" s="249" t="s">
        <v>91</v>
      </c>
      <c r="F17" s="268">
        <v>0</v>
      </c>
      <c r="G17" s="268">
        <v>0</v>
      </c>
      <c r="H17" s="268">
        <v>0</v>
      </c>
      <c r="I17" s="249" t="s">
        <v>91</v>
      </c>
      <c r="J17" s="268">
        <v>0</v>
      </c>
      <c r="K17" s="268">
        <v>0</v>
      </c>
      <c r="L17" s="268">
        <v>0</v>
      </c>
      <c r="M17" s="342">
        <v>0</v>
      </c>
      <c r="N17" s="268">
        <v>0</v>
      </c>
      <c r="O17" s="268">
        <v>0</v>
      </c>
      <c r="P17" s="268">
        <v>0</v>
      </c>
      <c r="Q17" s="342">
        <v>0</v>
      </c>
      <c r="R17" s="268">
        <v>0</v>
      </c>
      <c r="S17" s="268">
        <v>0</v>
      </c>
      <c r="T17" s="268">
        <v>0</v>
      </c>
      <c r="U17" s="342">
        <v>0</v>
      </c>
      <c r="V17" s="268">
        <v>0</v>
      </c>
      <c r="W17" s="268">
        <v>0</v>
      </c>
      <c r="X17" s="268">
        <v>0</v>
      </c>
      <c r="Y17" s="512">
        <v>0</v>
      </c>
      <c r="Z17" s="268">
        <v>0</v>
      </c>
      <c r="AA17" s="268">
        <v>0</v>
      </c>
      <c r="AB17" s="268">
        <v>0</v>
      </c>
      <c r="AC17" s="512">
        <v>0</v>
      </c>
      <c r="AD17" s="544">
        <v>0</v>
      </c>
      <c r="AE17" s="268">
        <v>0</v>
      </c>
      <c r="AF17" s="268"/>
      <c r="AG17" s="512"/>
      <c r="AK17" s="43"/>
    </row>
    <row r="18" spans="1:37" ht="13.7" customHeight="1" x14ac:dyDescent="0.35">
      <c r="A18" s="7" t="s">
        <v>126</v>
      </c>
      <c r="B18" s="208"/>
      <c r="C18" s="268"/>
      <c r="D18" s="542"/>
      <c r="E18" s="249"/>
      <c r="F18" s="268"/>
      <c r="G18" s="268"/>
      <c r="H18" s="542"/>
      <c r="I18" s="249"/>
      <c r="J18" s="268"/>
      <c r="K18" s="268"/>
      <c r="L18" s="542"/>
      <c r="M18" s="342"/>
      <c r="N18" s="268"/>
      <c r="O18" s="268"/>
      <c r="P18" s="542"/>
      <c r="Q18" s="342"/>
      <c r="R18" s="268"/>
      <c r="S18" s="268"/>
      <c r="T18" s="542"/>
      <c r="U18" s="342"/>
      <c r="V18" s="268"/>
      <c r="W18" s="268"/>
      <c r="X18" s="542"/>
      <c r="Y18" s="45">
        <v>992</v>
      </c>
      <c r="Z18" s="268">
        <v>1048</v>
      </c>
      <c r="AA18" s="268">
        <v>1067</v>
      </c>
      <c r="AB18" s="542">
        <v>1131</v>
      </c>
      <c r="AC18" s="45">
        <v>1251</v>
      </c>
      <c r="AD18" s="45">
        <v>1284</v>
      </c>
      <c r="AE18" s="268">
        <v>1306</v>
      </c>
      <c r="AF18" s="542">
        <v>1313</v>
      </c>
      <c r="AG18" s="45">
        <v>1213</v>
      </c>
      <c r="AK18" s="43"/>
    </row>
    <row r="19" spans="1:37" ht="13.7" customHeight="1" x14ac:dyDescent="0.35">
      <c r="A19" s="7" t="s">
        <v>127</v>
      </c>
      <c r="B19" s="91">
        <v>888</v>
      </c>
      <c r="C19" s="91">
        <v>793</v>
      </c>
      <c r="D19" s="190">
        <v>632</v>
      </c>
      <c r="E19" s="45">
        <v>545</v>
      </c>
      <c r="F19" s="91">
        <v>699</v>
      </c>
      <c r="G19" s="91">
        <v>706</v>
      </c>
      <c r="H19" s="190">
        <v>712</v>
      </c>
      <c r="I19" s="45">
        <v>732</v>
      </c>
      <c r="J19" s="91">
        <v>712</v>
      </c>
      <c r="K19" s="91">
        <v>760</v>
      </c>
      <c r="L19" s="190">
        <v>924</v>
      </c>
      <c r="M19" s="45">
        <v>1013</v>
      </c>
      <c r="N19" s="91">
        <v>1039</v>
      </c>
      <c r="O19" s="91">
        <v>1094</v>
      </c>
      <c r="P19" s="190">
        <v>1070</v>
      </c>
      <c r="Q19" s="45">
        <v>1346</v>
      </c>
      <c r="R19" s="91">
        <v>1701</v>
      </c>
      <c r="S19" s="91">
        <v>1848</v>
      </c>
      <c r="T19" s="190">
        <v>1940</v>
      </c>
      <c r="U19" s="45">
        <v>1942</v>
      </c>
      <c r="V19" s="91">
        <v>2095</v>
      </c>
      <c r="W19" s="91">
        <v>2136</v>
      </c>
      <c r="X19" s="190">
        <v>2236</v>
      </c>
      <c r="Y19" s="45">
        <f>2289-Y18</f>
        <v>1297</v>
      </c>
      <c r="Z19" s="91">
        <f>2338-Z18</f>
        <v>1290</v>
      </c>
      <c r="AA19" s="91">
        <f>2290-AA18</f>
        <v>1223</v>
      </c>
      <c r="AB19" s="190">
        <f>2641-AB18</f>
        <v>1510</v>
      </c>
      <c r="AC19" s="45">
        <v>1796</v>
      </c>
      <c r="AD19" s="45">
        <v>1942</v>
      </c>
      <c r="AE19" s="91">
        <v>1909</v>
      </c>
      <c r="AF19" s="190">
        <v>2186</v>
      </c>
      <c r="AG19" s="45">
        <v>2584</v>
      </c>
      <c r="AK19" s="43"/>
    </row>
    <row r="20" spans="1:37" ht="13.7" customHeight="1" x14ac:dyDescent="0.35">
      <c r="A20" s="7" t="s">
        <v>128</v>
      </c>
      <c r="B20" s="91">
        <v>2307</v>
      </c>
      <c r="C20" s="91">
        <v>2352</v>
      </c>
      <c r="D20" s="190">
        <v>2394</v>
      </c>
      <c r="E20" s="45">
        <v>2436</v>
      </c>
      <c r="F20" s="91">
        <v>2407</v>
      </c>
      <c r="G20" s="91">
        <v>2397</v>
      </c>
      <c r="H20" s="190">
        <v>2401</v>
      </c>
      <c r="I20" s="45">
        <v>2448</v>
      </c>
      <c r="J20" s="91">
        <v>2397</v>
      </c>
      <c r="K20" s="91">
        <v>2312</v>
      </c>
      <c r="L20" s="190">
        <v>2255</v>
      </c>
      <c r="M20" s="45">
        <v>2284</v>
      </c>
      <c r="N20" s="91">
        <v>2304</v>
      </c>
      <c r="O20" s="91">
        <v>2375</v>
      </c>
      <c r="P20" s="190">
        <v>2510</v>
      </c>
      <c r="Q20" s="45">
        <v>2635</v>
      </c>
      <c r="R20" s="91">
        <v>2814</v>
      </c>
      <c r="S20" s="91">
        <v>2914</v>
      </c>
      <c r="T20" s="190">
        <v>2971</v>
      </c>
      <c r="U20" s="45">
        <v>3105</v>
      </c>
      <c r="V20" s="91">
        <v>3123</v>
      </c>
      <c r="W20" s="91">
        <v>3152</v>
      </c>
      <c r="X20" s="190">
        <v>3197</v>
      </c>
      <c r="Y20" s="45">
        <v>3323</v>
      </c>
      <c r="Z20" s="91">
        <v>3304</v>
      </c>
      <c r="AA20" s="91">
        <v>3289</v>
      </c>
      <c r="AB20" s="190">
        <v>3309</v>
      </c>
      <c r="AC20" s="45">
        <v>3267</v>
      </c>
      <c r="AD20" s="45">
        <v>3210</v>
      </c>
      <c r="AE20" s="91">
        <v>3130</v>
      </c>
      <c r="AF20" s="190">
        <v>3086</v>
      </c>
      <c r="AG20" s="45">
        <v>2977</v>
      </c>
      <c r="AJ20" s="43"/>
      <c r="AK20" s="43"/>
    </row>
    <row r="21" spans="1:37" ht="13.7" customHeight="1" x14ac:dyDescent="0.35">
      <c r="A21" s="7" t="s">
        <v>129</v>
      </c>
      <c r="B21" s="91">
        <v>5494</v>
      </c>
      <c r="C21" s="91">
        <v>5127</v>
      </c>
      <c r="D21" s="190">
        <v>4762</v>
      </c>
      <c r="E21" s="45">
        <v>4467</v>
      </c>
      <c r="F21" s="91">
        <v>4094</v>
      </c>
      <c r="G21" s="91">
        <v>3737</v>
      </c>
      <c r="H21" s="190">
        <v>3406</v>
      </c>
      <c r="I21" s="45">
        <v>3620</v>
      </c>
      <c r="J21" s="91">
        <v>3218</v>
      </c>
      <c r="K21" s="91">
        <v>2824</v>
      </c>
      <c r="L21" s="190">
        <v>2380</v>
      </c>
      <c r="M21" s="45">
        <v>2242</v>
      </c>
      <c r="N21" s="91">
        <v>2057</v>
      </c>
      <c r="O21" s="91">
        <v>1891</v>
      </c>
      <c r="P21" s="190">
        <v>1741</v>
      </c>
      <c r="Q21" s="45">
        <v>1694</v>
      </c>
      <c r="R21" s="91">
        <v>1577</v>
      </c>
      <c r="S21" s="91">
        <v>1527</v>
      </c>
      <c r="T21" s="190">
        <v>1417</v>
      </c>
      <c r="U21" s="45">
        <v>1311</v>
      </c>
      <c r="V21" s="91">
        <v>1208</v>
      </c>
      <c r="W21" s="91">
        <v>1110</v>
      </c>
      <c r="X21" s="190">
        <v>1010</v>
      </c>
      <c r="Y21" s="45">
        <v>922</v>
      </c>
      <c r="Z21" s="91">
        <v>839</v>
      </c>
      <c r="AA21" s="91">
        <v>796</v>
      </c>
      <c r="AB21" s="190">
        <v>735</v>
      </c>
      <c r="AC21" s="45">
        <v>836</v>
      </c>
      <c r="AD21" s="45">
        <v>777</v>
      </c>
      <c r="AE21" s="91">
        <v>1121</v>
      </c>
      <c r="AF21" s="190">
        <v>1139</v>
      </c>
      <c r="AG21" s="45">
        <v>1547</v>
      </c>
      <c r="AK21" s="43"/>
    </row>
    <row r="22" spans="1:37" ht="13.7" customHeight="1" x14ac:dyDescent="0.35">
      <c r="A22" s="7" t="s">
        <v>130</v>
      </c>
      <c r="B22" s="91">
        <v>8877</v>
      </c>
      <c r="C22" s="91">
        <v>8861</v>
      </c>
      <c r="D22" s="190">
        <v>8865</v>
      </c>
      <c r="E22" s="45">
        <v>8857</v>
      </c>
      <c r="F22" s="91">
        <v>8852</v>
      </c>
      <c r="G22" s="91">
        <v>8788</v>
      </c>
      <c r="H22" s="190">
        <v>8791</v>
      </c>
      <c r="I22" s="45">
        <v>9949</v>
      </c>
      <c r="J22" s="91">
        <v>9935</v>
      </c>
      <c r="K22" s="91">
        <v>9946</v>
      </c>
      <c r="L22" s="190">
        <v>9959</v>
      </c>
      <c r="M22" s="45">
        <v>9984</v>
      </c>
      <c r="N22" s="91">
        <v>9968</v>
      </c>
      <c r="O22" s="91">
        <v>9971</v>
      </c>
      <c r="P22" s="190">
        <v>9968</v>
      </c>
      <c r="Q22" s="45">
        <v>9961</v>
      </c>
      <c r="R22" s="91">
        <v>9954</v>
      </c>
      <c r="S22" s="91">
        <v>9930</v>
      </c>
      <c r="T22" s="190">
        <v>9909</v>
      </c>
      <c r="U22" s="45">
        <v>9943</v>
      </c>
      <c r="V22" s="91">
        <v>9949</v>
      </c>
      <c r="W22" s="91">
        <v>9950</v>
      </c>
      <c r="X22" s="190">
        <v>9937</v>
      </c>
      <c r="Y22" s="45">
        <v>9955</v>
      </c>
      <c r="Z22" s="91">
        <v>9945</v>
      </c>
      <c r="AA22" s="91">
        <v>9941</v>
      </c>
      <c r="AB22" s="190">
        <v>9958</v>
      </c>
      <c r="AC22" s="45">
        <v>9930</v>
      </c>
      <c r="AD22" s="45">
        <v>9942</v>
      </c>
      <c r="AE22" s="91">
        <v>10098</v>
      </c>
      <c r="AF22" s="190">
        <v>10121</v>
      </c>
      <c r="AG22" s="45">
        <v>10299</v>
      </c>
      <c r="AK22" s="43"/>
    </row>
    <row r="23" spans="1:37" ht="13.7" customHeight="1" x14ac:dyDescent="0.35">
      <c r="A23" s="6" t="s">
        <v>131</v>
      </c>
      <c r="B23" s="200">
        <v>17566</v>
      </c>
      <c r="C23" s="200">
        <v>17133</v>
      </c>
      <c r="D23" s="191">
        <v>16653</v>
      </c>
      <c r="E23" s="49">
        <v>16305</v>
      </c>
      <c r="F23" s="200">
        <v>16052</v>
      </c>
      <c r="G23" s="200">
        <v>15628</v>
      </c>
      <c r="H23" s="191">
        <v>15310</v>
      </c>
      <c r="I23" s="49">
        <v>16749</v>
      </c>
      <c r="J23" s="200">
        <v>16262</v>
      </c>
      <c r="K23" s="200">
        <v>15842</v>
      </c>
      <c r="L23" s="191">
        <v>15518</v>
      </c>
      <c r="M23" s="49">
        <v>15523</v>
      </c>
      <c r="N23" s="200">
        <v>15368</v>
      </c>
      <c r="O23" s="200">
        <v>15331</v>
      </c>
      <c r="P23" s="191">
        <v>15289</v>
      </c>
      <c r="Q23" s="49">
        <v>15636</v>
      </c>
      <c r="R23" s="200">
        <v>16046</v>
      </c>
      <c r="S23" s="200">
        <v>16219</v>
      </c>
      <c r="T23" s="191">
        <v>16237</v>
      </c>
      <c r="U23" s="49">
        <v>16301</v>
      </c>
      <c r="V23" s="200">
        <v>16375</v>
      </c>
      <c r="W23" s="200">
        <v>16348</v>
      </c>
      <c r="X23" s="191">
        <v>16380</v>
      </c>
      <c r="Y23" s="49">
        <v>16489</v>
      </c>
      <c r="Z23" s="200">
        <v>16426</v>
      </c>
      <c r="AA23" s="200">
        <v>16316</v>
      </c>
      <c r="AB23" s="191">
        <v>16643</v>
      </c>
      <c r="AC23" s="49">
        <v>17080</v>
      </c>
      <c r="AD23" s="49">
        <f>SUM(AD17:AD22)</f>
        <v>17155</v>
      </c>
      <c r="AE23" s="200">
        <f>SUM(AE17:AE22)</f>
        <v>17564</v>
      </c>
      <c r="AF23" s="191">
        <v>17845</v>
      </c>
      <c r="AG23" s="49">
        <v>18620</v>
      </c>
      <c r="AK23" s="43"/>
    </row>
    <row r="24" spans="1:37" ht="10.15" customHeight="1" x14ac:dyDescent="0.35">
      <c r="A24" s="7"/>
      <c r="B24" s="91"/>
      <c r="C24" s="91"/>
      <c r="D24" s="190"/>
      <c r="E24" s="45"/>
      <c r="F24" s="91"/>
      <c r="G24" s="91"/>
      <c r="H24" s="190"/>
      <c r="I24" s="45"/>
      <c r="J24" s="91"/>
      <c r="K24" s="91"/>
      <c r="L24" s="190"/>
      <c r="M24" s="45"/>
      <c r="N24" s="91"/>
      <c r="O24" s="91"/>
      <c r="P24" s="190"/>
      <c r="Q24" s="45"/>
      <c r="R24" s="91"/>
      <c r="S24" s="91"/>
      <c r="T24" s="190"/>
      <c r="U24" s="45"/>
      <c r="V24" s="91"/>
      <c r="W24" s="91"/>
      <c r="X24" s="190"/>
      <c r="Y24" s="45"/>
      <c r="Z24" s="91"/>
      <c r="AA24" s="91"/>
      <c r="AB24" s="190"/>
      <c r="AC24" s="45"/>
      <c r="AD24" s="45"/>
      <c r="AE24" s="91"/>
      <c r="AF24" s="190"/>
      <c r="AG24" s="45"/>
      <c r="AK24" s="43"/>
    </row>
    <row r="25" spans="1:37" ht="13.7" customHeight="1" x14ac:dyDescent="0.35">
      <c r="A25" s="6" t="s">
        <v>132</v>
      </c>
      <c r="B25" s="200">
        <v>24127</v>
      </c>
      <c r="C25" s="200">
        <v>22644</v>
      </c>
      <c r="D25" s="191">
        <v>21056</v>
      </c>
      <c r="E25" s="49">
        <v>21530</v>
      </c>
      <c r="F25" s="200">
        <v>20672</v>
      </c>
      <c r="G25" s="200">
        <v>21059</v>
      </c>
      <c r="H25" s="191">
        <v>21254</v>
      </c>
      <c r="I25" s="49">
        <v>20016</v>
      </c>
      <c r="J25" s="200">
        <v>19511</v>
      </c>
      <c r="K25" s="200">
        <v>21057</v>
      </c>
      <c r="L25" s="191">
        <v>21122</v>
      </c>
      <c r="M25" s="49">
        <v>19847</v>
      </c>
      <c r="N25" s="200">
        <v>19392</v>
      </c>
      <c r="O25" s="200">
        <v>20622</v>
      </c>
      <c r="P25" s="191">
        <v>20010</v>
      </c>
      <c r="Q25" s="49">
        <v>20864</v>
      </c>
      <c r="R25" s="200">
        <v>21321</v>
      </c>
      <c r="S25" s="200">
        <v>22539</v>
      </c>
      <c r="T25" s="191">
        <v>22940</v>
      </c>
      <c r="U25" s="49">
        <v>23236</v>
      </c>
      <c r="V25" s="200">
        <v>23732</v>
      </c>
      <c r="W25" s="200">
        <v>23795</v>
      </c>
      <c r="X25" s="191">
        <v>23996</v>
      </c>
      <c r="Y25" s="49">
        <v>24353</v>
      </c>
      <c r="Z25" s="200">
        <v>23320</v>
      </c>
      <c r="AA25" s="200">
        <v>23196</v>
      </c>
      <c r="AB25" s="191">
        <v>23669</v>
      </c>
      <c r="AC25" s="49">
        <v>24385</v>
      </c>
      <c r="AD25" s="49">
        <f>AD13+AD23</f>
        <v>25180</v>
      </c>
      <c r="AE25" s="200">
        <f>AE13+AE23</f>
        <v>25250</v>
      </c>
      <c r="AF25" s="191">
        <v>26354</v>
      </c>
      <c r="AG25" s="49">
        <v>26560</v>
      </c>
      <c r="AK25" s="43"/>
    </row>
    <row r="26" spans="1:37" ht="10.15" customHeight="1" x14ac:dyDescent="0.35">
      <c r="A26" s="6"/>
      <c r="B26" s="91"/>
      <c r="C26" s="91"/>
      <c r="D26" s="190"/>
      <c r="E26" s="45"/>
      <c r="F26" s="91"/>
      <c r="G26" s="91"/>
      <c r="H26" s="190"/>
      <c r="I26" s="45"/>
      <c r="J26" s="91"/>
      <c r="K26" s="91"/>
      <c r="L26" s="190"/>
      <c r="M26" s="45"/>
      <c r="N26" s="91"/>
      <c r="O26" s="91"/>
      <c r="P26" s="190"/>
      <c r="Q26" s="45"/>
      <c r="R26" s="91"/>
      <c r="S26" s="91"/>
      <c r="T26" s="190"/>
      <c r="U26" s="45"/>
      <c r="V26" s="91"/>
      <c r="W26" s="91"/>
      <c r="X26" s="190"/>
      <c r="Y26" s="45"/>
      <c r="Z26" s="91"/>
      <c r="AA26" s="91"/>
      <c r="AB26" s="190"/>
      <c r="AC26" s="45"/>
      <c r="AD26" s="45"/>
      <c r="AE26" s="91"/>
      <c r="AF26" s="190"/>
      <c r="AG26" s="45"/>
      <c r="AK26" s="43"/>
    </row>
    <row r="27" spans="1:37" ht="13.7" customHeight="1" x14ac:dyDescent="0.35">
      <c r="A27" s="6" t="s">
        <v>133</v>
      </c>
      <c r="B27" s="91"/>
      <c r="C27" s="91"/>
      <c r="D27" s="190"/>
      <c r="E27" s="45"/>
      <c r="F27" s="91"/>
      <c r="G27" s="91"/>
      <c r="H27" s="190"/>
      <c r="I27" s="45"/>
      <c r="J27" s="91"/>
      <c r="K27" s="91"/>
      <c r="L27" s="190"/>
      <c r="M27" s="45"/>
      <c r="N27" s="91"/>
      <c r="O27" s="91"/>
      <c r="P27" s="190"/>
      <c r="Q27" s="45"/>
      <c r="R27" s="91"/>
      <c r="S27" s="91"/>
      <c r="T27" s="190"/>
      <c r="U27" s="45"/>
      <c r="V27" s="91"/>
      <c r="W27" s="91"/>
      <c r="X27" s="190"/>
      <c r="Y27" s="45"/>
      <c r="Z27" s="91"/>
      <c r="AA27" s="91"/>
      <c r="AB27" s="190"/>
      <c r="AC27" s="45"/>
      <c r="AD27" s="45"/>
      <c r="AE27" s="91"/>
      <c r="AF27" s="190"/>
      <c r="AG27" s="45"/>
      <c r="AK27" s="43"/>
    </row>
    <row r="28" spans="1:37" ht="13.7" customHeight="1" x14ac:dyDescent="0.35">
      <c r="A28" s="6" t="s">
        <v>134</v>
      </c>
      <c r="B28" s="91"/>
      <c r="C28" s="91"/>
      <c r="D28" s="190"/>
      <c r="E28" s="45"/>
      <c r="F28" s="91"/>
      <c r="G28" s="91"/>
      <c r="H28" s="190"/>
      <c r="I28" s="45"/>
      <c r="J28" s="91"/>
      <c r="K28" s="91"/>
      <c r="L28" s="190"/>
      <c r="M28" s="45"/>
      <c r="N28" s="91"/>
      <c r="O28" s="91"/>
      <c r="P28" s="190"/>
      <c r="Q28" s="45"/>
      <c r="R28" s="91"/>
      <c r="S28" s="91"/>
      <c r="T28" s="190"/>
      <c r="U28" s="45"/>
      <c r="V28" s="91"/>
      <c r="W28" s="91"/>
      <c r="X28" s="190"/>
      <c r="Y28" s="45"/>
      <c r="Z28" s="91"/>
      <c r="AA28" s="91"/>
      <c r="AB28" s="190"/>
      <c r="AC28" s="45"/>
      <c r="AD28" s="45"/>
      <c r="AE28" s="91"/>
      <c r="AF28" s="190"/>
      <c r="AG28" s="45"/>
      <c r="AK28" s="43"/>
    </row>
    <row r="29" spans="1:37" ht="13.7" customHeight="1" x14ac:dyDescent="0.35">
      <c r="A29" s="7" t="s">
        <v>135</v>
      </c>
      <c r="B29" s="293">
        <f>984-129</f>
        <v>855</v>
      </c>
      <c r="C29" s="293">
        <f>1072-142</f>
        <v>930</v>
      </c>
      <c r="D29" s="417">
        <f>949-74</f>
        <v>875</v>
      </c>
      <c r="E29" s="418">
        <f>999-76</f>
        <v>923</v>
      </c>
      <c r="F29" s="293">
        <f>815-91</f>
        <v>724</v>
      </c>
      <c r="G29" s="293">
        <f>770-54</f>
        <v>716</v>
      </c>
      <c r="H29" s="417">
        <f>862-43</f>
        <v>819</v>
      </c>
      <c r="I29" s="418">
        <f>944-41</f>
        <v>903</v>
      </c>
      <c r="J29" s="293">
        <f>895-115</f>
        <v>780</v>
      </c>
      <c r="K29" s="293">
        <f>729-89</f>
        <v>640</v>
      </c>
      <c r="L29" s="417">
        <f>697-27</f>
        <v>670</v>
      </c>
      <c r="M29" s="418">
        <f>991-33</f>
        <v>958</v>
      </c>
      <c r="N29" s="293">
        <f>1033-40</f>
        <v>993</v>
      </c>
      <c r="O29" s="293">
        <f>1167-49</f>
        <v>1118</v>
      </c>
      <c r="P29" s="417">
        <f>1140-92</f>
        <v>1048</v>
      </c>
      <c r="Q29" s="418">
        <f>1252-141</f>
        <v>1111</v>
      </c>
      <c r="R29" s="293">
        <f>1369-237</f>
        <v>1132</v>
      </c>
      <c r="S29" s="293">
        <f>1462-271</f>
        <v>1191</v>
      </c>
      <c r="T29" s="417">
        <f>1534-420</f>
        <v>1114</v>
      </c>
      <c r="U29" s="418">
        <f>1617-432</f>
        <v>1185</v>
      </c>
      <c r="V29" s="293">
        <v>1002</v>
      </c>
      <c r="W29" s="293">
        <v>967</v>
      </c>
      <c r="X29" s="417">
        <v>959</v>
      </c>
      <c r="Y29" s="418">
        <v>1164</v>
      </c>
      <c r="Z29" s="293">
        <v>954</v>
      </c>
      <c r="AA29" s="293">
        <v>929</v>
      </c>
      <c r="AB29" s="417">
        <v>899</v>
      </c>
      <c r="AC29" s="418">
        <v>1017</v>
      </c>
      <c r="AD29" s="418">
        <v>863</v>
      </c>
      <c r="AE29" s="293">
        <v>892</v>
      </c>
      <c r="AF29" s="417">
        <v>886</v>
      </c>
      <c r="AG29" s="418">
        <v>997</v>
      </c>
      <c r="AK29" s="43"/>
    </row>
    <row r="30" spans="1:37" ht="13.7" customHeight="1" x14ac:dyDescent="0.35">
      <c r="A30" s="7" t="s">
        <v>136</v>
      </c>
      <c r="B30" s="419" t="s">
        <v>91</v>
      </c>
      <c r="C30" s="419" t="s">
        <v>91</v>
      </c>
      <c r="D30" s="420">
        <v>0</v>
      </c>
      <c r="E30" s="418" t="s">
        <v>91</v>
      </c>
      <c r="F30" s="419" t="s">
        <v>91</v>
      </c>
      <c r="G30" s="420">
        <v>0</v>
      </c>
      <c r="H30" s="420">
        <v>0</v>
      </c>
      <c r="I30" s="418" t="s">
        <v>91</v>
      </c>
      <c r="J30" s="420">
        <v>0</v>
      </c>
      <c r="K30" s="420">
        <v>0</v>
      </c>
      <c r="L30" s="420">
        <v>0</v>
      </c>
      <c r="M30" s="421">
        <v>0</v>
      </c>
      <c r="N30" s="420">
        <v>0</v>
      </c>
      <c r="O30" s="420">
        <v>0</v>
      </c>
      <c r="P30" s="420">
        <v>0</v>
      </c>
      <c r="Q30" s="421">
        <v>0</v>
      </c>
      <c r="R30" s="420">
        <v>0</v>
      </c>
      <c r="S30" s="420">
        <v>0</v>
      </c>
      <c r="T30" s="420">
        <v>0</v>
      </c>
      <c r="U30" s="421">
        <v>0</v>
      </c>
      <c r="V30" s="420">
        <v>0</v>
      </c>
      <c r="W30" s="420">
        <v>0</v>
      </c>
      <c r="X30" s="420">
        <v>0</v>
      </c>
      <c r="Y30" s="513">
        <v>0</v>
      </c>
      <c r="Z30" s="420">
        <v>0</v>
      </c>
      <c r="AA30" s="420">
        <v>0</v>
      </c>
      <c r="AB30" s="420">
        <v>0</v>
      </c>
      <c r="AC30" s="513">
        <v>0</v>
      </c>
      <c r="AD30" s="545">
        <v>0</v>
      </c>
      <c r="AE30" s="420">
        <v>0</v>
      </c>
      <c r="AF30" s="420">
        <v>0</v>
      </c>
      <c r="AG30" s="513">
        <v>0</v>
      </c>
      <c r="AK30" s="43"/>
    </row>
    <row r="31" spans="1:37" ht="13.7" customHeight="1" x14ac:dyDescent="0.35">
      <c r="A31" s="7" t="s">
        <v>137</v>
      </c>
      <c r="B31" s="419" t="s">
        <v>91</v>
      </c>
      <c r="C31" s="419" t="s">
        <v>91</v>
      </c>
      <c r="D31" s="420">
        <v>0</v>
      </c>
      <c r="E31" s="422" t="s">
        <v>91</v>
      </c>
      <c r="F31" s="419" t="s">
        <v>91</v>
      </c>
      <c r="G31" s="420">
        <v>0</v>
      </c>
      <c r="H31" s="420">
        <v>0</v>
      </c>
      <c r="I31" s="422" t="s">
        <v>91</v>
      </c>
      <c r="J31" s="420">
        <v>0</v>
      </c>
      <c r="K31" s="420">
        <v>0</v>
      </c>
      <c r="L31" s="420">
        <v>0</v>
      </c>
      <c r="M31" s="421">
        <v>0</v>
      </c>
      <c r="N31" s="420">
        <v>0</v>
      </c>
      <c r="O31" s="420">
        <v>0</v>
      </c>
      <c r="P31" s="420">
        <v>0</v>
      </c>
      <c r="Q31" s="421">
        <v>0</v>
      </c>
      <c r="R31" s="420">
        <v>0</v>
      </c>
      <c r="S31" s="420">
        <v>0</v>
      </c>
      <c r="T31" s="420">
        <v>0</v>
      </c>
      <c r="U31" s="421">
        <v>0</v>
      </c>
      <c r="V31" s="420">
        <v>0</v>
      </c>
      <c r="W31" s="420">
        <v>0</v>
      </c>
      <c r="X31" s="420">
        <v>0</v>
      </c>
      <c r="Y31" s="513">
        <v>0</v>
      </c>
      <c r="Z31" s="420">
        <v>0</v>
      </c>
      <c r="AA31" s="420">
        <v>0</v>
      </c>
      <c r="AB31" s="420">
        <v>0</v>
      </c>
      <c r="AC31" s="513">
        <v>0</v>
      </c>
      <c r="AD31" s="545">
        <v>0</v>
      </c>
      <c r="AE31" s="420">
        <v>0</v>
      </c>
      <c r="AF31" s="420">
        <v>0</v>
      </c>
      <c r="AG31" s="513">
        <v>0</v>
      </c>
      <c r="AK31" s="43"/>
    </row>
    <row r="32" spans="1:37" ht="13.7" customHeight="1" x14ac:dyDescent="0.35">
      <c r="A32" s="7" t="s">
        <v>138</v>
      </c>
      <c r="B32" s="419">
        <v>67</v>
      </c>
      <c r="C32" s="419">
        <v>64</v>
      </c>
      <c r="D32" s="423">
        <v>62</v>
      </c>
      <c r="E32" s="422">
        <v>60</v>
      </c>
      <c r="F32" s="419">
        <v>66</v>
      </c>
      <c r="G32" s="419">
        <v>53</v>
      </c>
      <c r="H32" s="423">
        <v>41</v>
      </c>
      <c r="I32" s="422">
        <v>32</v>
      </c>
      <c r="J32" s="419">
        <v>26</v>
      </c>
      <c r="K32" s="419">
        <v>25</v>
      </c>
      <c r="L32" s="423">
        <v>25</v>
      </c>
      <c r="M32" s="422">
        <v>60</v>
      </c>
      <c r="N32" s="419">
        <v>42</v>
      </c>
      <c r="O32" s="419">
        <v>36</v>
      </c>
      <c r="P32" s="423">
        <v>30</v>
      </c>
      <c r="Q32" s="422">
        <v>25</v>
      </c>
      <c r="R32" s="419">
        <v>16</v>
      </c>
      <c r="S32" s="419">
        <v>12</v>
      </c>
      <c r="T32" s="423">
        <v>8</v>
      </c>
      <c r="U32" s="422">
        <v>19</v>
      </c>
      <c r="V32" s="419">
        <v>27</v>
      </c>
      <c r="W32" s="419">
        <v>23</v>
      </c>
      <c r="X32" s="423">
        <v>16</v>
      </c>
      <c r="Y32" s="422">
        <v>92</v>
      </c>
      <c r="Z32" s="419">
        <v>68</v>
      </c>
      <c r="AA32" s="419">
        <v>62</v>
      </c>
      <c r="AB32" s="423">
        <v>52</v>
      </c>
      <c r="AC32" s="422">
        <v>147</v>
      </c>
      <c r="AD32" s="422">
        <v>75</v>
      </c>
      <c r="AE32" s="419">
        <v>65</v>
      </c>
      <c r="AF32" s="423">
        <v>49</v>
      </c>
      <c r="AG32" s="422">
        <v>189</v>
      </c>
      <c r="AK32" s="43"/>
    </row>
    <row r="33" spans="1:37" ht="13.7" customHeight="1" x14ac:dyDescent="0.35">
      <c r="A33" s="7" t="s">
        <v>139</v>
      </c>
      <c r="B33" s="293">
        <f>865+129</f>
        <v>994</v>
      </c>
      <c r="C33" s="293">
        <f>712+142</f>
        <v>854</v>
      </c>
      <c r="D33" s="417">
        <f>1583+74</f>
        <v>1657</v>
      </c>
      <c r="E33" s="418">
        <f>1219+76</f>
        <v>1295</v>
      </c>
      <c r="F33" s="293">
        <f>1264+91</f>
        <v>1355</v>
      </c>
      <c r="G33" s="293">
        <f>983+54</f>
        <v>1037</v>
      </c>
      <c r="H33" s="417">
        <f>1081+43</f>
        <v>1124</v>
      </c>
      <c r="I33" s="418">
        <f>815+41</f>
        <v>856</v>
      </c>
      <c r="J33" s="293">
        <f>910+115</f>
        <v>1025</v>
      </c>
      <c r="K33" s="293">
        <f>889+89</f>
        <v>978</v>
      </c>
      <c r="L33" s="417">
        <f>940+27</f>
        <v>967</v>
      </c>
      <c r="M33" s="418">
        <f>966+33</f>
        <v>999</v>
      </c>
      <c r="N33" s="293">
        <f>1190+40</f>
        <v>1230</v>
      </c>
      <c r="O33" s="293">
        <f>1133+49</f>
        <v>1182</v>
      </c>
      <c r="P33" s="417">
        <f>1269+92</f>
        <v>1361</v>
      </c>
      <c r="Q33" s="418">
        <f>1175+141</f>
        <v>1316</v>
      </c>
      <c r="R33" s="293">
        <f>1460+237</f>
        <v>1697</v>
      </c>
      <c r="S33" s="293">
        <f>1467+271</f>
        <v>1738</v>
      </c>
      <c r="T33" s="417">
        <f>1677+420</f>
        <v>2097</v>
      </c>
      <c r="U33" s="418">
        <f>1634+432</f>
        <v>2066</v>
      </c>
      <c r="V33" s="293">
        <v>2186</v>
      </c>
      <c r="W33" s="293">
        <v>2096</v>
      </c>
      <c r="X33" s="417">
        <v>1990</v>
      </c>
      <c r="Y33" s="418">
        <v>1855</v>
      </c>
      <c r="Z33" s="293">
        <v>1906</v>
      </c>
      <c r="AA33" s="293">
        <v>1622</v>
      </c>
      <c r="AB33" s="417">
        <v>1542</v>
      </c>
      <c r="AC33" s="418">
        <v>1434</v>
      </c>
      <c r="AD33" s="418">
        <v>1412</v>
      </c>
      <c r="AE33" s="293">
        <v>1471</v>
      </c>
      <c r="AF33" s="417">
        <v>1384</v>
      </c>
      <c r="AG33" s="418">
        <v>1445</v>
      </c>
      <c r="AK33" s="43"/>
    </row>
    <row r="34" spans="1:37" ht="13.7" customHeight="1" x14ac:dyDescent="0.35">
      <c r="A34" s="7" t="s">
        <v>140</v>
      </c>
      <c r="B34" s="293">
        <v>1249</v>
      </c>
      <c r="C34" s="293">
        <v>2</v>
      </c>
      <c r="D34" s="417">
        <v>1002</v>
      </c>
      <c r="E34" s="418">
        <v>1107</v>
      </c>
      <c r="F34" s="293">
        <v>1117</v>
      </c>
      <c r="G34" s="293">
        <v>1177</v>
      </c>
      <c r="H34" s="417">
        <v>1142</v>
      </c>
      <c r="I34" s="418" t="s">
        <v>91</v>
      </c>
      <c r="J34" s="420">
        <v>0</v>
      </c>
      <c r="K34" s="293">
        <v>1349</v>
      </c>
      <c r="L34" s="417">
        <v>1749</v>
      </c>
      <c r="M34" s="421">
        <v>0</v>
      </c>
      <c r="N34" s="420">
        <v>0</v>
      </c>
      <c r="O34" s="420">
        <v>0</v>
      </c>
      <c r="P34" s="417">
        <v>999</v>
      </c>
      <c r="Q34" s="421">
        <v>0</v>
      </c>
      <c r="R34" s="420">
        <v>0</v>
      </c>
      <c r="S34" s="420">
        <v>0</v>
      </c>
      <c r="T34" s="420">
        <v>0</v>
      </c>
      <c r="U34" s="421">
        <v>0</v>
      </c>
      <c r="V34" s="420">
        <v>998</v>
      </c>
      <c r="W34" s="420">
        <v>999</v>
      </c>
      <c r="X34" s="420">
        <v>999</v>
      </c>
      <c r="Y34" s="418">
        <v>1000</v>
      </c>
      <c r="Z34" s="420">
        <v>0</v>
      </c>
      <c r="AA34" s="420">
        <v>499</v>
      </c>
      <c r="AB34" s="420">
        <v>499</v>
      </c>
      <c r="AC34" s="418">
        <v>500</v>
      </c>
      <c r="AD34" s="418">
        <v>1499</v>
      </c>
      <c r="AE34" s="420">
        <v>1999</v>
      </c>
      <c r="AF34" s="420">
        <v>1264</v>
      </c>
      <c r="AG34" s="418">
        <v>1250</v>
      </c>
      <c r="AK34" s="43"/>
    </row>
    <row r="35" spans="1:37" ht="13.7" customHeight="1" x14ac:dyDescent="0.35">
      <c r="A35" s="6" t="s">
        <v>141</v>
      </c>
      <c r="B35" s="200">
        <v>3165</v>
      </c>
      <c r="C35" s="200">
        <v>1850</v>
      </c>
      <c r="D35" s="191">
        <v>3596</v>
      </c>
      <c r="E35" s="49">
        <v>3385</v>
      </c>
      <c r="F35" s="200">
        <v>3262</v>
      </c>
      <c r="G35" s="200">
        <v>2983</v>
      </c>
      <c r="H35" s="191">
        <v>3126</v>
      </c>
      <c r="I35" s="49">
        <v>1791</v>
      </c>
      <c r="J35" s="200">
        <v>1831</v>
      </c>
      <c r="K35" s="200">
        <v>2992</v>
      </c>
      <c r="L35" s="191">
        <v>3411</v>
      </c>
      <c r="M35" s="49">
        <v>2017</v>
      </c>
      <c r="N35" s="200">
        <v>2265</v>
      </c>
      <c r="O35" s="200">
        <v>2336</v>
      </c>
      <c r="P35" s="191">
        <v>3438</v>
      </c>
      <c r="Q35" s="49">
        <v>2452</v>
      </c>
      <c r="R35" s="200">
        <v>2845</v>
      </c>
      <c r="S35" s="200">
        <v>2941</v>
      </c>
      <c r="T35" s="191">
        <v>3219</v>
      </c>
      <c r="U35" s="49">
        <v>3270</v>
      </c>
      <c r="V35" s="200">
        <v>4213</v>
      </c>
      <c r="W35" s="200">
        <v>4085</v>
      </c>
      <c r="X35" s="191">
        <v>3964</v>
      </c>
      <c r="Y35" s="49">
        <v>4111</v>
      </c>
      <c r="Z35" s="200">
        <v>2928</v>
      </c>
      <c r="AA35" s="200">
        <v>3112</v>
      </c>
      <c r="AB35" s="191">
        <v>2992</v>
      </c>
      <c r="AC35" s="49">
        <v>3098</v>
      </c>
      <c r="AD35" s="49">
        <f>SUM(AD29:AD34)</f>
        <v>3849</v>
      </c>
      <c r="AE35" s="200">
        <f>SUM(AE29:AE34)</f>
        <v>4427</v>
      </c>
      <c r="AF35" s="191">
        <v>3583</v>
      </c>
      <c r="AG35" s="49">
        <v>3881</v>
      </c>
      <c r="AK35" s="43"/>
    </row>
    <row r="36" spans="1:37" ht="10.15" customHeight="1" x14ac:dyDescent="0.35">
      <c r="A36" s="6"/>
      <c r="B36" s="91"/>
      <c r="C36" s="91"/>
      <c r="D36" s="190"/>
      <c r="E36" s="45"/>
      <c r="F36" s="91"/>
      <c r="G36" s="91"/>
      <c r="H36" s="190"/>
      <c r="I36" s="45"/>
      <c r="J36" s="91"/>
      <c r="K36" s="91"/>
      <c r="L36" s="190"/>
      <c r="M36" s="45"/>
      <c r="N36" s="91"/>
      <c r="O36" s="91"/>
      <c r="P36" s="190"/>
      <c r="Q36" s="45"/>
      <c r="R36" s="91"/>
      <c r="S36" s="91"/>
      <c r="T36" s="190"/>
      <c r="U36" s="45"/>
      <c r="V36" s="91"/>
      <c r="W36" s="91"/>
      <c r="X36" s="190"/>
      <c r="Y36" s="45"/>
      <c r="Z36" s="91"/>
      <c r="AA36" s="91"/>
      <c r="AB36" s="190"/>
      <c r="AC36" s="45"/>
      <c r="AD36" s="45"/>
      <c r="AE36" s="91"/>
      <c r="AF36" s="190"/>
      <c r="AG36" s="45"/>
      <c r="AK36" s="43"/>
    </row>
    <row r="37" spans="1:37" ht="13.7" customHeight="1" x14ac:dyDescent="0.35">
      <c r="A37" s="6" t="s">
        <v>142</v>
      </c>
      <c r="B37" s="91"/>
      <c r="C37" s="91"/>
      <c r="D37" s="190"/>
      <c r="E37" s="45"/>
      <c r="F37" s="91"/>
      <c r="G37" s="91"/>
      <c r="H37" s="190"/>
      <c r="I37" s="45"/>
      <c r="J37" s="91"/>
      <c r="K37" s="91"/>
      <c r="L37" s="190"/>
      <c r="M37" s="45"/>
      <c r="N37" s="91"/>
      <c r="O37" s="91"/>
      <c r="P37" s="190"/>
      <c r="Q37" s="45"/>
      <c r="R37" s="91"/>
      <c r="S37" s="91"/>
      <c r="T37" s="190"/>
      <c r="U37" s="45"/>
      <c r="V37" s="91"/>
      <c r="W37" s="91"/>
      <c r="X37" s="190"/>
      <c r="Y37" s="45"/>
      <c r="Z37" s="91"/>
      <c r="AA37" s="91"/>
      <c r="AB37" s="190"/>
      <c r="AC37" s="45"/>
      <c r="AD37" s="45"/>
      <c r="AE37" s="91"/>
      <c r="AF37" s="190"/>
      <c r="AG37" s="45"/>
      <c r="AK37" s="43"/>
    </row>
    <row r="38" spans="1:37" ht="13.7" customHeight="1" x14ac:dyDescent="0.35">
      <c r="A38" s="7" t="s">
        <v>143</v>
      </c>
      <c r="B38" s="91">
        <v>5329</v>
      </c>
      <c r="C38" s="91">
        <v>5341</v>
      </c>
      <c r="D38" s="190">
        <v>5354</v>
      </c>
      <c r="E38" s="45">
        <v>6247</v>
      </c>
      <c r="F38" s="91">
        <v>6223</v>
      </c>
      <c r="G38" s="91">
        <v>7361</v>
      </c>
      <c r="H38" s="190">
        <v>7363</v>
      </c>
      <c r="I38" s="45">
        <v>7365</v>
      </c>
      <c r="J38" s="91">
        <v>7366</v>
      </c>
      <c r="K38" s="91">
        <v>8004</v>
      </c>
      <c r="L38" s="190">
        <v>7607</v>
      </c>
      <c r="M38" s="45">
        <v>7609</v>
      </c>
      <c r="N38" s="91">
        <v>7611</v>
      </c>
      <c r="O38" s="91">
        <v>9591</v>
      </c>
      <c r="P38" s="190">
        <v>8594</v>
      </c>
      <c r="Q38" s="45">
        <v>10572</v>
      </c>
      <c r="R38" s="91">
        <v>10573</v>
      </c>
      <c r="S38" s="91">
        <v>11160</v>
      </c>
      <c r="T38" s="190">
        <v>11162</v>
      </c>
      <c r="U38" s="45">
        <v>11165</v>
      </c>
      <c r="V38" s="91">
        <v>10169</v>
      </c>
      <c r="W38" s="91">
        <v>10171</v>
      </c>
      <c r="X38" s="190">
        <v>10173</v>
      </c>
      <c r="Y38" s="45">
        <v>10175</v>
      </c>
      <c r="Z38" s="91">
        <v>10178</v>
      </c>
      <c r="AA38" s="91">
        <v>9681</v>
      </c>
      <c r="AB38" s="190">
        <v>9683</v>
      </c>
      <c r="AC38" s="45">
        <v>10354</v>
      </c>
      <c r="AD38" s="45">
        <v>10226</v>
      </c>
      <c r="AE38" s="91">
        <v>9479</v>
      </c>
      <c r="AF38" s="190">
        <v>10971</v>
      </c>
      <c r="AG38" s="45">
        <v>10972</v>
      </c>
      <c r="AK38" s="43"/>
    </row>
    <row r="39" spans="1:37" x14ac:dyDescent="0.35">
      <c r="A39" s="7" t="s">
        <v>144</v>
      </c>
      <c r="B39" s="208" t="s">
        <v>91</v>
      </c>
      <c r="C39" s="208" t="s">
        <v>91</v>
      </c>
      <c r="D39" s="268">
        <v>0</v>
      </c>
      <c r="E39" s="343">
        <v>0</v>
      </c>
      <c r="F39" s="208" t="s">
        <v>91</v>
      </c>
      <c r="G39" s="268">
        <v>0</v>
      </c>
      <c r="H39" s="268">
        <v>0</v>
      </c>
      <c r="I39" s="249" t="s">
        <v>91</v>
      </c>
      <c r="J39" s="268">
        <v>0</v>
      </c>
      <c r="K39" s="268">
        <v>0</v>
      </c>
      <c r="L39" s="268">
        <v>0</v>
      </c>
      <c r="M39" s="343">
        <v>0</v>
      </c>
      <c r="N39" s="268">
        <v>0</v>
      </c>
      <c r="O39" s="268">
        <v>0</v>
      </c>
      <c r="P39" s="268">
        <v>0</v>
      </c>
      <c r="Q39" s="343">
        <v>0</v>
      </c>
      <c r="R39" s="268">
        <v>0</v>
      </c>
      <c r="S39" s="268">
        <v>0</v>
      </c>
      <c r="T39" s="268">
        <v>0</v>
      </c>
      <c r="U39" s="343">
        <v>0</v>
      </c>
      <c r="V39" s="268">
        <v>0</v>
      </c>
      <c r="W39" s="268">
        <v>0</v>
      </c>
      <c r="X39" s="268">
        <v>0</v>
      </c>
      <c r="Y39" s="514">
        <v>0</v>
      </c>
      <c r="Z39" s="268">
        <v>0</v>
      </c>
      <c r="AA39" s="268">
        <v>0</v>
      </c>
      <c r="AB39" s="268">
        <v>0</v>
      </c>
      <c r="AC39" s="514">
        <v>0</v>
      </c>
      <c r="AD39" s="546">
        <v>0</v>
      </c>
      <c r="AE39" s="268">
        <v>0</v>
      </c>
      <c r="AF39" s="268">
        <v>0</v>
      </c>
      <c r="AG39" s="514">
        <v>0</v>
      </c>
      <c r="AK39" s="43"/>
    </row>
    <row r="40" spans="1:37" x14ac:dyDescent="0.35">
      <c r="A40" s="7" t="s">
        <v>145</v>
      </c>
      <c r="B40" s="208">
        <v>15</v>
      </c>
      <c r="C40" s="208">
        <v>9</v>
      </c>
      <c r="D40" s="141">
        <v>9</v>
      </c>
      <c r="E40" s="249">
        <v>5</v>
      </c>
      <c r="F40" s="208">
        <v>4</v>
      </c>
      <c r="G40" s="268">
        <v>0</v>
      </c>
      <c r="H40" s="268">
        <v>0</v>
      </c>
      <c r="I40" s="249" t="s">
        <v>91</v>
      </c>
      <c r="J40" s="268">
        <v>0</v>
      </c>
      <c r="K40" s="268">
        <v>0</v>
      </c>
      <c r="L40" s="268">
        <v>15</v>
      </c>
      <c r="M40" s="249">
        <v>14</v>
      </c>
      <c r="N40" s="268">
        <v>14</v>
      </c>
      <c r="O40" s="268">
        <v>12</v>
      </c>
      <c r="P40" s="268">
        <v>13</v>
      </c>
      <c r="Q40" s="249">
        <v>12</v>
      </c>
      <c r="R40" s="268">
        <v>14</v>
      </c>
      <c r="S40" s="268">
        <v>12</v>
      </c>
      <c r="T40" s="268">
        <v>12</v>
      </c>
      <c r="U40" s="249">
        <v>1</v>
      </c>
      <c r="V40" s="268">
        <v>7</v>
      </c>
      <c r="W40" s="268">
        <v>8</v>
      </c>
      <c r="X40" s="268">
        <v>3</v>
      </c>
      <c r="Y40" s="249">
        <v>9</v>
      </c>
      <c r="Z40" s="268">
        <v>9</v>
      </c>
      <c r="AA40" s="268">
        <v>7</v>
      </c>
      <c r="AB40" s="268">
        <v>4</v>
      </c>
      <c r="AC40" s="249">
        <v>10</v>
      </c>
      <c r="AD40" s="249">
        <v>4</v>
      </c>
      <c r="AE40" s="268">
        <v>60</v>
      </c>
      <c r="AF40" s="268">
        <v>60</v>
      </c>
      <c r="AG40" s="249">
        <v>81</v>
      </c>
      <c r="AH40" s="348"/>
      <c r="AI40" s="348"/>
      <c r="AK40" s="43"/>
    </row>
    <row r="41" spans="1:37" x14ac:dyDescent="0.35">
      <c r="A41" s="7" t="s">
        <v>146</v>
      </c>
      <c r="B41" s="208">
        <v>650</v>
      </c>
      <c r="C41" s="208">
        <v>579</v>
      </c>
      <c r="D41" s="141">
        <v>502</v>
      </c>
      <c r="E41" s="249">
        <v>450</v>
      </c>
      <c r="F41" s="208">
        <v>390</v>
      </c>
      <c r="G41" s="208">
        <v>337</v>
      </c>
      <c r="H41" s="141">
        <v>285</v>
      </c>
      <c r="I41" s="249">
        <v>282</v>
      </c>
      <c r="J41" s="208">
        <v>199</v>
      </c>
      <c r="K41" s="208">
        <v>136</v>
      </c>
      <c r="L41" s="141">
        <v>136</v>
      </c>
      <c r="M41" s="249">
        <v>85</v>
      </c>
      <c r="N41" s="208">
        <v>85</v>
      </c>
      <c r="O41" s="208">
        <v>90</v>
      </c>
      <c r="P41" s="141">
        <v>84</v>
      </c>
      <c r="Q41" s="249">
        <v>57</v>
      </c>
      <c r="R41" s="208">
        <v>53</v>
      </c>
      <c r="S41" s="208">
        <v>41</v>
      </c>
      <c r="T41" s="141">
        <v>39</v>
      </c>
      <c r="U41" s="249">
        <v>45</v>
      </c>
      <c r="V41" s="208">
        <v>38</v>
      </c>
      <c r="W41" s="208">
        <v>40</v>
      </c>
      <c r="X41" s="141">
        <v>44</v>
      </c>
      <c r="Y41" s="514">
        <f>44-44</f>
        <v>0</v>
      </c>
      <c r="Z41" s="268">
        <f>46-46</f>
        <v>0</v>
      </c>
      <c r="AA41" s="268">
        <f>48-48</f>
        <v>0</v>
      </c>
      <c r="AB41" s="268">
        <f>57-57</f>
        <v>0</v>
      </c>
      <c r="AC41" s="514">
        <f>61-61</f>
        <v>0</v>
      </c>
      <c r="AD41" s="546">
        <v>0</v>
      </c>
      <c r="AE41" s="268">
        <v>0</v>
      </c>
      <c r="AF41" s="268"/>
      <c r="AG41" s="514"/>
      <c r="AK41" s="43"/>
    </row>
    <row r="42" spans="1:37" ht="13.7" customHeight="1" x14ac:dyDescent="0.35">
      <c r="A42" s="7" t="s">
        <v>147</v>
      </c>
      <c r="B42" s="91">
        <v>1078</v>
      </c>
      <c r="C42" s="91">
        <v>976</v>
      </c>
      <c r="D42" s="190">
        <v>790</v>
      </c>
      <c r="E42" s="45">
        <v>753</v>
      </c>
      <c r="F42" s="91">
        <v>862</v>
      </c>
      <c r="G42" s="91">
        <v>858</v>
      </c>
      <c r="H42" s="190">
        <v>885</v>
      </c>
      <c r="I42" s="45">
        <v>923</v>
      </c>
      <c r="J42" s="91">
        <v>857</v>
      </c>
      <c r="K42" s="91">
        <v>870</v>
      </c>
      <c r="L42" s="190">
        <v>880</v>
      </c>
      <c r="M42" s="45">
        <v>971</v>
      </c>
      <c r="N42" s="91">
        <v>896</v>
      </c>
      <c r="O42" s="91">
        <v>924</v>
      </c>
      <c r="P42" s="190">
        <v>909</v>
      </c>
      <c r="Q42" s="45">
        <v>1001</v>
      </c>
      <c r="R42" s="91">
        <v>1076</v>
      </c>
      <c r="S42" s="91">
        <v>1159</v>
      </c>
      <c r="T42" s="190">
        <v>1123</v>
      </c>
      <c r="U42" s="45">
        <v>1015</v>
      </c>
      <c r="V42" s="91">
        <v>1057</v>
      </c>
      <c r="W42" s="91">
        <v>1014</v>
      </c>
      <c r="X42" s="190">
        <v>1014</v>
      </c>
      <c r="Y42" s="45">
        <f>1054+44</f>
        <v>1098</v>
      </c>
      <c r="Z42" s="91">
        <f>1009+46</f>
        <v>1055</v>
      </c>
      <c r="AA42" s="91">
        <f>1003+48</f>
        <v>1051</v>
      </c>
      <c r="AB42" s="190">
        <f>1189+57</f>
        <v>1246</v>
      </c>
      <c r="AC42" s="45">
        <v>1392</v>
      </c>
      <c r="AD42" s="45">
        <v>1424</v>
      </c>
      <c r="AE42" s="91">
        <v>1348</v>
      </c>
      <c r="AF42" s="190">
        <v>1313</v>
      </c>
      <c r="AG42" s="45">
        <v>1175</v>
      </c>
      <c r="AH42" s="348"/>
      <c r="AI42" s="348"/>
      <c r="AK42" s="43"/>
    </row>
    <row r="43" spans="1:37" ht="13.7" customHeight="1" x14ac:dyDescent="0.35">
      <c r="A43" s="6" t="s">
        <v>148</v>
      </c>
      <c r="B43" s="200">
        <v>7072</v>
      </c>
      <c r="C43" s="200">
        <v>6905</v>
      </c>
      <c r="D43" s="191">
        <v>6655</v>
      </c>
      <c r="E43" s="49">
        <v>7455</v>
      </c>
      <c r="F43" s="200">
        <v>7479</v>
      </c>
      <c r="G43" s="200">
        <v>8556</v>
      </c>
      <c r="H43" s="191">
        <v>8533</v>
      </c>
      <c r="I43" s="49">
        <v>8570</v>
      </c>
      <c r="J43" s="200">
        <v>8422</v>
      </c>
      <c r="K43" s="200">
        <v>9010</v>
      </c>
      <c r="L43" s="191">
        <v>8638</v>
      </c>
      <c r="M43" s="49">
        <v>8679</v>
      </c>
      <c r="N43" s="200">
        <v>8606</v>
      </c>
      <c r="O43" s="200">
        <v>10617</v>
      </c>
      <c r="P43" s="191">
        <v>9600</v>
      </c>
      <c r="Q43" s="49">
        <v>11642</v>
      </c>
      <c r="R43" s="200">
        <v>11716</v>
      </c>
      <c r="S43" s="200">
        <v>12372</v>
      </c>
      <c r="T43" s="191">
        <v>12336</v>
      </c>
      <c r="U43" s="49">
        <v>12226</v>
      </c>
      <c r="V43" s="200">
        <v>11271</v>
      </c>
      <c r="W43" s="200">
        <v>11233</v>
      </c>
      <c r="X43" s="191">
        <v>11234</v>
      </c>
      <c r="Y43" s="49">
        <v>11282</v>
      </c>
      <c r="Z43" s="200">
        <v>11242</v>
      </c>
      <c r="AA43" s="200">
        <v>10739</v>
      </c>
      <c r="AB43" s="191">
        <v>10933</v>
      </c>
      <c r="AC43" s="49">
        <v>11756</v>
      </c>
      <c r="AD43" s="49">
        <f>SUM(AD38:AD42)</f>
        <v>11654</v>
      </c>
      <c r="AE43" s="200">
        <f>SUM(AE38:AE42)</f>
        <v>10887</v>
      </c>
      <c r="AF43" s="191">
        <v>12344</v>
      </c>
      <c r="AG43" s="49">
        <v>12228</v>
      </c>
      <c r="AK43" s="43"/>
    </row>
    <row r="44" spans="1:37" ht="10.15" customHeight="1" x14ac:dyDescent="0.35">
      <c r="A44" s="7"/>
      <c r="B44" s="91"/>
      <c r="C44" s="91"/>
      <c r="D44" s="190"/>
      <c r="E44" s="45"/>
      <c r="F44" s="91"/>
      <c r="G44" s="91"/>
      <c r="H44" s="190"/>
      <c r="I44" s="45"/>
      <c r="J44" s="91"/>
      <c r="K44" s="91"/>
      <c r="L44" s="190"/>
      <c r="M44" s="45"/>
      <c r="N44" s="91"/>
      <c r="O44" s="91"/>
      <c r="P44" s="190"/>
      <c r="Q44" s="45"/>
      <c r="R44" s="91"/>
      <c r="S44" s="91"/>
      <c r="T44" s="190"/>
      <c r="U44" s="45"/>
      <c r="V44" s="91"/>
      <c r="W44" s="91"/>
      <c r="X44" s="190"/>
      <c r="Y44" s="45"/>
      <c r="Z44" s="91"/>
      <c r="AA44" s="91"/>
      <c r="AB44" s="190"/>
      <c r="AC44" s="45"/>
      <c r="AD44" s="45"/>
      <c r="AE44" s="91"/>
      <c r="AF44" s="190"/>
      <c r="AG44" s="45"/>
      <c r="AK44" s="43"/>
    </row>
    <row r="45" spans="1:37" ht="13.7" customHeight="1" x14ac:dyDescent="0.35">
      <c r="A45" s="7" t="s">
        <v>149</v>
      </c>
      <c r="B45" s="91">
        <v>201</v>
      </c>
      <c r="C45" s="91">
        <v>159</v>
      </c>
      <c r="D45" s="190">
        <v>172</v>
      </c>
      <c r="E45" s="45">
        <v>185</v>
      </c>
      <c r="F45" s="91">
        <v>190</v>
      </c>
      <c r="G45" s="91">
        <v>195</v>
      </c>
      <c r="H45" s="190">
        <v>205</v>
      </c>
      <c r="I45" s="45">
        <v>214</v>
      </c>
      <c r="J45" s="91">
        <v>222</v>
      </c>
      <c r="K45" s="91">
        <v>193</v>
      </c>
      <c r="L45" s="190">
        <v>197</v>
      </c>
      <c r="M45" s="45">
        <v>207</v>
      </c>
      <c r="N45" s="91">
        <v>218</v>
      </c>
      <c r="O45" s="91">
        <v>227</v>
      </c>
      <c r="P45" s="190">
        <v>234</v>
      </c>
      <c r="Q45" s="45">
        <v>242</v>
      </c>
      <c r="R45" s="91">
        <v>251</v>
      </c>
      <c r="S45" s="91">
        <v>264</v>
      </c>
      <c r="T45" s="190">
        <v>279</v>
      </c>
      <c r="U45" s="45">
        <v>291</v>
      </c>
      <c r="V45" s="91">
        <v>299</v>
      </c>
      <c r="W45" s="91">
        <v>305</v>
      </c>
      <c r="X45" s="190">
        <v>310</v>
      </c>
      <c r="Y45" s="45">
        <v>316</v>
      </c>
      <c r="Z45" s="91">
        <v>321</v>
      </c>
      <c r="AA45" s="91">
        <v>327</v>
      </c>
      <c r="AB45" s="190">
        <v>338</v>
      </c>
      <c r="AC45" s="45">
        <v>348</v>
      </c>
      <c r="AD45" s="45">
        <v>355</v>
      </c>
      <c r="AE45" s="91">
        <v>367</v>
      </c>
      <c r="AF45" s="190">
        <v>382</v>
      </c>
      <c r="AG45" s="45">
        <v>395</v>
      </c>
      <c r="AK45" s="43"/>
    </row>
    <row r="46" spans="1:37" ht="13.7" customHeight="1" x14ac:dyDescent="0.35">
      <c r="A46" s="7" t="s">
        <v>150</v>
      </c>
      <c r="B46" s="91">
        <v>13689</v>
      </c>
      <c r="C46" s="91">
        <v>13730</v>
      </c>
      <c r="D46" s="190">
        <v>10633</v>
      </c>
      <c r="E46" s="45">
        <v>10505</v>
      </c>
      <c r="F46" s="91">
        <v>9741</v>
      </c>
      <c r="G46" s="91">
        <v>9325</v>
      </c>
      <c r="H46" s="190">
        <v>9390</v>
      </c>
      <c r="I46" s="45">
        <v>9441</v>
      </c>
      <c r="J46" s="91">
        <v>9036</v>
      </c>
      <c r="K46" s="91">
        <v>8862</v>
      </c>
      <c r="L46" s="190">
        <v>8876</v>
      </c>
      <c r="M46" s="45">
        <v>8944</v>
      </c>
      <c r="N46" s="91">
        <v>8303</v>
      </c>
      <c r="O46" s="91">
        <v>7442</v>
      </c>
      <c r="P46" s="190">
        <v>6738</v>
      </c>
      <c r="Q46" s="45">
        <v>6528</v>
      </c>
      <c r="R46" s="91">
        <v>6509</v>
      </c>
      <c r="S46" s="91">
        <v>6962</v>
      </c>
      <c r="T46" s="190">
        <v>7106</v>
      </c>
      <c r="U46" s="45">
        <v>7449</v>
      </c>
      <c r="V46" s="91">
        <v>7949</v>
      </c>
      <c r="W46" s="91">
        <v>8172</v>
      </c>
      <c r="X46" s="190">
        <v>8488</v>
      </c>
      <c r="Y46" s="45">
        <v>8644</v>
      </c>
      <c r="Z46" s="91">
        <v>8829</v>
      </c>
      <c r="AA46" s="91">
        <v>9018</v>
      </c>
      <c r="AB46" s="190">
        <v>9406</v>
      </c>
      <c r="AC46" s="45">
        <v>9183</v>
      </c>
      <c r="AD46" s="45">
        <v>9322</v>
      </c>
      <c r="AE46" s="91">
        <v>9569</v>
      </c>
      <c r="AF46" s="190">
        <v>10045</v>
      </c>
      <c r="AG46" s="45">
        <v>10056</v>
      </c>
      <c r="AK46" s="43"/>
    </row>
    <row r="47" spans="1:37" ht="13.7" customHeight="1" x14ac:dyDescent="0.35">
      <c r="A47" s="6" t="s">
        <v>151</v>
      </c>
      <c r="B47" s="200">
        <v>13890</v>
      </c>
      <c r="C47" s="200">
        <v>13889</v>
      </c>
      <c r="D47" s="191">
        <v>10805</v>
      </c>
      <c r="E47" s="49">
        <v>10690</v>
      </c>
      <c r="F47" s="200">
        <v>9931</v>
      </c>
      <c r="G47" s="200">
        <v>9520</v>
      </c>
      <c r="H47" s="191">
        <v>9595</v>
      </c>
      <c r="I47" s="49">
        <v>9655</v>
      </c>
      <c r="J47" s="200">
        <v>9258</v>
      </c>
      <c r="K47" s="200">
        <v>9055</v>
      </c>
      <c r="L47" s="191">
        <v>9073</v>
      </c>
      <c r="M47" s="49">
        <v>9151</v>
      </c>
      <c r="N47" s="200">
        <v>8521</v>
      </c>
      <c r="O47" s="200">
        <v>7669</v>
      </c>
      <c r="P47" s="191">
        <v>6972</v>
      </c>
      <c r="Q47" s="49">
        <v>6770</v>
      </c>
      <c r="R47" s="200">
        <v>6760</v>
      </c>
      <c r="S47" s="200">
        <v>7226</v>
      </c>
      <c r="T47" s="191">
        <v>7385</v>
      </c>
      <c r="U47" s="49">
        <v>7740</v>
      </c>
      <c r="V47" s="200">
        <v>8248</v>
      </c>
      <c r="W47" s="200">
        <v>8477</v>
      </c>
      <c r="X47" s="191">
        <v>8798</v>
      </c>
      <c r="Y47" s="49">
        <v>8960</v>
      </c>
      <c r="Z47" s="200">
        <v>9150</v>
      </c>
      <c r="AA47" s="200">
        <v>9345</v>
      </c>
      <c r="AB47" s="191">
        <v>9744</v>
      </c>
      <c r="AC47" s="49">
        <v>9531</v>
      </c>
      <c r="AD47" s="49">
        <f>SUM(AD45:AD46)</f>
        <v>9677</v>
      </c>
      <c r="AE47" s="200">
        <f>SUM(AE45:AE46)</f>
        <v>9936</v>
      </c>
      <c r="AF47" s="191">
        <v>10427</v>
      </c>
      <c r="AG47" s="49">
        <v>10451</v>
      </c>
      <c r="AK47" s="43"/>
    </row>
    <row r="48" spans="1:37" ht="10.15" customHeight="1" x14ac:dyDescent="0.35">
      <c r="A48" s="7"/>
      <c r="B48" s="91"/>
      <c r="C48" s="91"/>
      <c r="D48" s="190"/>
      <c r="E48" s="45"/>
      <c r="F48" s="91"/>
      <c r="G48" s="91"/>
      <c r="H48" s="190"/>
      <c r="I48" s="45"/>
      <c r="J48" s="91"/>
      <c r="K48" s="91"/>
      <c r="L48" s="190"/>
      <c r="M48" s="45"/>
      <c r="N48" s="91"/>
      <c r="O48" s="91"/>
      <c r="P48" s="190"/>
      <c r="Q48" s="45"/>
      <c r="R48" s="91"/>
      <c r="S48" s="91"/>
      <c r="T48" s="190"/>
      <c r="U48" s="45"/>
      <c r="V48" s="91"/>
      <c r="W48" s="91"/>
      <c r="X48" s="190"/>
      <c r="Y48" s="45"/>
      <c r="Z48" s="91"/>
      <c r="AA48" s="91"/>
      <c r="AB48" s="190"/>
      <c r="AC48" s="45"/>
      <c r="AD48" s="45"/>
      <c r="AE48" s="91"/>
      <c r="AF48" s="190"/>
      <c r="AG48" s="45"/>
      <c r="AK48" s="43"/>
    </row>
    <row r="49" spans="1:37" ht="13.7" customHeight="1" thickBot="1" x14ac:dyDescent="0.4">
      <c r="A49" s="59" t="s">
        <v>152</v>
      </c>
      <c r="B49" s="209">
        <v>24127</v>
      </c>
      <c r="C49" s="209">
        <v>22644</v>
      </c>
      <c r="D49" s="192">
        <v>21056</v>
      </c>
      <c r="E49" s="250">
        <v>21530</v>
      </c>
      <c r="F49" s="209">
        <v>20672</v>
      </c>
      <c r="G49" s="209">
        <v>21059</v>
      </c>
      <c r="H49" s="192">
        <v>21254</v>
      </c>
      <c r="I49" s="250">
        <v>20016</v>
      </c>
      <c r="J49" s="209">
        <v>19511</v>
      </c>
      <c r="K49" s="209">
        <v>21057</v>
      </c>
      <c r="L49" s="192">
        <v>21122</v>
      </c>
      <c r="M49" s="250">
        <v>19847</v>
      </c>
      <c r="N49" s="209">
        <v>19392</v>
      </c>
      <c r="O49" s="209">
        <v>20622</v>
      </c>
      <c r="P49" s="192">
        <v>20010</v>
      </c>
      <c r="Q49" s="250">
        <v>20864</v>
      </c>
      <c r="R49" s="209">
        <v>21321</v>
      </c>
      <c r="S49" s="209">
        <v>22539</v>
      </c>
      <c r="T49" s="192">
        <v>22940</v>
      </c>
      <c r="U49" s="250">
        <v>23236</v>
      </c>
      <c r="V49" s="209">
        <v>23732</v>
      </c>
      <c r="W49" s="209">
        <v>23795</v>
      </c>
      <c r="X49" s="192">
        <v>23996</v>
      </c>
      <c r="Y49" s="250">
        <v>24353</v>
      </c>
      <c r="Z49" s="209">
        <v>23320</v>
      </c>
      <c r="AA49" s="209">
        <v>23196</v>
      </c>
      <c r="AB49" s="192">
        <v>23669</v>
      </c>
      <c r="AC49" s="250">
        <v>24385</v>
      </c>
      <c r="AD49" s="250">
        <f>AD35+AD43+AD47</f>
        <v>25180</v>
      </c>
      <c r="AE49" s="209">
        <f>AE35+AE43+AE47</f>
        <v>25250</v>
      </c>
      <c r="AF49" s="192">
        <v>26354</v>
      </c>
      <c r="AG49" s="250">
        <v>26560</v>
      </c>
      <c r="AK49" s="43"/>
    </row>
    <row r="51" spans="1:37" x14ac:dyDescent="0.35">
      <c r="A51" s="251"/>
    </row>
    <row r="52" spans="1:37" ht="58.15" x14ac:dyDescent="0.35">
      <c r="A52" s="7" t="s">
        <v>153</v>
      </c>
      <c r="J52" s="31"/>
      <c r="K52" s="31"/>
      <c r="L52" s="31"/>
      <c r="M52" s="31"/>
      <c r="N52" s="31"/>
      <c r="R52" s="31"/>
      <c r="V52" s="31"/>
      <c r="Z52" s="31"/>
    </row>
    <row r="53" spans="1:37" x14ac:dyDescent="0.35">
      <c r="A53" s="251"/>
    </row>
    <row r="54" spans="1:37" x14ac:dyDescent="0.35">
      <c r="A54" s="252"/>
    </row>
    <row r="55" spans="1:37" x14ac:dyDescent="0.35">
      <c r="A55" s="7"/>
    </row>
  </sheetData>
  <customSheetViews>
    <customSheetView guid="{8A3FF670-BD86-44B8-80D6-F16ECD9AAB7E}">
      <selection activeCell="L39" sqref="L39"/>
      <pageMargins left="0" right="0" top="0" bottom="0" header="0" footer="0"/>
      <pageSetup scale="79" orientation="portrait" verticalDpi="1200" r:id="rId1"/>
    </customSheetView>
    <customSheetView guid="{3AEE86E9-9A50-484E-B189-6F484AA443A0}">
      <selection activeCell="O21" sqref="O21"/>
      <pageMargins left="0" right="0" top="0" bottom="0" header="0" footer="0"/>
      <pageSetup scale="79" orientation="portrait" verticalDpi="1200" r:id="rId2"/>
    </customSheetView>
  </customSheetViews>
  <phoneticPr fontId="12" type="noConversion"/>
  <pageMargins left="0.2" right="0.2" top="0.5" bottom="0.5" header="0" footer="0"/>
  <pageSetup orientation="portrait" verticalDpi="1200" r:id="rId3"/>
  <customProperties>
    <customPr name="_pios_id" r:id="rId4"/>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T107"/>
  <sheetViews>
    <sheetView zoomScale="115" zoomScaleNormal="115" workbookViewId="0">
      <pane xSplit="1" ySplit="3" topLeftCell="AD83" activePane="bottomRight" state="frozen"/>
      <selection pane="topRight" activeCell="B1" sqref="B1"/>
      <selection pane="bottomLeft" activeCell="A4" sqref="A4"/>
      <selection pane="bottomRight" activeCell="AP88" sqref="AP88"/>
    </sheetView>
  </sheetViews>
  <sheetFormatPr defaultRowHeight="12.75" outlineLevelCol="1" x14ac:dyDescent="0.35"/>
  <cols>
    <col min="1" max="1" width="63.59765625" style="25" customWidth="1"/>
    <col min="2" max="33" width="9.3984375" customWidth="1" outlineLevel="1"/>
    <col min="34" max="34" width="2.73046875" customWidth="1"/>
    <col min="35" max="38" width="9.1328125" hidden="1" customWidth="1"/>
    <col min="39" max="39" width="8.73046875" hidden="1" customWidth="1"/>
    <col min="40" max="41" width="8.73046875" customWidth="1"/>
  </cols>
  <sheetData>
    <row r="1" spans="1:46" ht="13.9" x14ac:dyDescent="0.4">
      <c r="A1" s="1" t="s">
        <v>43</v>
      </c>
    </row>
    <row r="2" spans="1:46" ht="14.25" thickBot="1" x14ac:dyDescent="0.45">
      <c r="A2" s="1" t="s">
        <v>154</v>
      </c>
      <c r="AP2" t="s">
        <v>45</v>
      </c>
    </row>
    <row r="3" spans="1:46" s="2" customFormat="1" ht="14.25" customHeight="1" thickBot="1" x14ac:dyDescent="0.45">
      <c r="A3" s="12" t="s">
        <v>46</v>
      </c>
      <c r="B3" s="159" t="s">
        <v>47</v>
      </c>
      <c r="C3" s="160" t="s">
        <v>48</v>
      </c>
      <c r="D3" s="160" t="s">
        <v>49</v>
      </c>
      <c r="E3" s="73" t="s">
        <v>50</v>
      </c>
      <c r="F3" s="159" t="s">
        <v>51</v>
      </c>
      <c r="G3" s="160" t="s">
        <v>52</v>
      </c>
      <c r="H3" s="160" t="s">
        <v>53</v>
      </c>
      <c r="I3" s="73" t="s">
        <v>54</v>
      </c>
      <c r="J3" s="159" t="s">
        <v>55</v>
      </c>
      <c r="K3" s="160" t="s">
        <v>56</v>
      </c>
      <c r="L3" s="160" t="s">
        <v>57</v>
      </c>
      <c r="M3" s="73" t="s">
        <v>58</v>
      </c>
      <c r="N3" s="159" t="s">
        <v>59</v>
      </c>
      <c r="O3" s="160" t="s">
        <v>60</v>
      </c>
      <c r="P3" s="160" t="s">
        <v>61</v>
      </c>
      <c r="Q3" s="73" t="s">
        <v>62</v>
      </c>
      <c r="R3" s="159" t="s">
        <v>63</v>
      </c>
      <c r="S3" s="160" t="s">
        <v>64</v>
      </c>
      <c r="T3" s="160" t="s">
        <v>65</v>
      </c>
      <c r="U3" s="73" t="s">
        <v>66</v>
      </c>
      <c r="V3" s="159" t="s">
        <v>67</v>
      </c>
      <c r="W3" s="160" t="s">
        <v>68</v>
      </c>
      <c r="X3" s="160" t="s">
        <v>69</v>
      </c>
      <c r="Y3" s="73" t="s">
        <v>70</v>
      </c>
      <c r="Z3" s="159" t="s">
        <v>71</v>
      </c>
      <c r="AA3" s="160" t="s">
        <v>72</v>
      </c>
      <c r="AB3" s="160" t="s">
        <v>73</v>
      </c>
      <c r="AC3" s="73" t="s">
        <v>74</v>
      </c>
      <c r="AD3" s="159" t="s">
        <v>75</v>
      </c>
      <c r="AE3" s="160" t="s">
        <v>76</v>
      </c>
      <c r="AF3" s="160" t="s">
        <v>77</v>
      </c>
      <c r="AG3" s="73" t="s">
        <v>78</v>
      </c>
      <c r="AI3" s="181">
        <v>2018</v>
      </c>
      <c r="AJ3" s="181">
        <v>2019</v>
      </c>
      <c r="AK3" s="181">
        <v>2020</v>
      </c>
      <c r="AL3" s="181">
        <v>2021</v>
      </c>
      <c r="AM3" s="181">
        <v>2022</v>
      </c>
      <c r="AN3" s="181">
        <v>2023</v>
      </c>
      <c r="AO3" s="181">
        <v>2024</v>
      </c>
      <c r="AP3" s="181">
        <v>2025</v>
      </c>
    </row>
    <row r="4" spans="1:46" ht="14.25" customHeight="1" x14ac:dyDescent="0.35">
      <c r="A4" s="567"/>
      <c r="B4" s="215"/>
      <c r="C4" s="210"/>
      <c r="D4" s="19"/>
      <c r="E4" s="57"/>
      <c r="F4" s="215"/>
      <c r="G4" s="210"/>
      <c r="H4" s="19"/>
      <c r="I4" s="57"/>
      <c r="J4" s="215"/>
      <c r="K4" s="210"/>
      <c r="L4" s="19"/>
      <c r="M4" s="57"/>
      <c r="N4" s="215"/>
      <c r="O4" s="210"/>
      <c r="P4" s="19"/>
      <c r="Q4" s="57"/>
      <c r="R4" s="215"/>
      <c r="S4" s="210"/>
      <c r="T4" s="19"/>
      <c r="U4" s="57"/>
      <c r="V4" s="215"/>
      <c r="W4" s="210"/>
      <c r="X4" s="19"/>
      <c r="Y4" s="57"/>
      <c r="Z4" s="215"/>
      <c r="AA4" s="210"/>
      <c r="AB4" s="19"/>
      <c r="AC4" s="57"/>
      <c r="AD4" s="215"/>
      <c r="AE4" s="210"/>
      <c r="AF4" s="19"/>
      <c r="AG4" s="57"/>
      <c r="AI4" s="53"/>
      <c r="AJ4" s="53"/>
      <c r="AK4" s="53"/>
      <c r="AL4" s="53"/>
      <c r="AM4" s="53"/>
      <c r="AN4" s="53"/>
      <c r="AO4" s="53"/>
      <c r="AP4" s="53"/>
    </row>
    <row r="5" spans="1:46" ht="13.7" customHeight="1" x14ac:dyDescent="0.35">
      <c r="A5" s="22" t="s">
        <v>155</v>
      </c>
      <c r="B5" s="216"/>
      <c r="C5" s="199"/>
      <c r="D5" s="16"/>
      <c r="E5" s="57"/>
      <c r="F5" s="216"/>
      <c r="G5" s="199"/>
      <c r="H5" s="16"/>
      <c r="I5" s="57"/>
      <c r="J5" s="216"/>
      <c r="K5" s="199"/>
      <c r="L5" s="16"/>
      <c r="M5" s="57"/>
      <c r="N5" s="216"/>
      <c r="O5" s="199"/>
      <c r="P5" s="16"/>
      <c r="Q5" s="57"/>
      <c r="R5" s="216"/>
      <c r="S5" s="199"/>
      <c r="T5" s="16"/>
      <c r="U5" s="57"/>
      <c r="V5" s="216"/>
      <c r="W5" s="199"/>
      <c r="X5" s="16"/>
      <c r="Y5" s="57"/>
      <c r="Z5" s="216"/>
      <c r="AA5" s="199"/>
      <c r="AB5" s="16"/>
      <c r="AC5" s="57"/>
      <c r="AD5" s="216"/>
      <c r="AE5" s="199"/>
      <c r="AF5" s="16"/>
      <c r="AG5" s="57"/>
      <c r="AI5" s="38"/>
      <c r="AJ5" s="38"/>
      <c r="AK5" s="38"/>
      <c r="AL5" s="38"/>
      <c r="AM5" s="38"/>
      <c r="AN5" s="38"/>
      <c r="AO5" s="38"/>
      <c r="AP5" s="38"/>
    </row>
    <row r="6" spans="1:46" ht="13.7" customHeight="1" x14ac:dyDescent="0.4">
      <c r="A6" s="23" t="s">
        <v>98</v>
      </c>
      <c r="B6" s="217">
        <v>70</v>
      </c>
      <c r="C6" s="200">
        <v>66</v>
      </c>
      <c r="D6" s="48">
        <v>1833</v>
      </c>
      <c r="E6" s="104">
        <v>289</v>
      </c>
      <c r="F6" s="217">
        <v>-16</v>
      </c>
      <c r="G6" s="200">
        <v>46</v>
      </c>
      <c r="H6" s="48">
        <v>119</v>
      </c>
      <c r="I6" s="104">
        <v>123</v>
      </c>
      <c r="J6" s="217">
        <v>-13</v>
      </c>
      <c r="K6" s="200">
        <v>-209</v>
      </c>
      <c r="L6" s="48">
        <v>-18</v>
      </c>
      <c r="M6" s="104">
        <v>320</v>
      </c>
      <c r="N6" s="217">
        <v>364</v>
      </c>
      <c r="O6" s="200">
        <v>406</v>
      </c>
      <c r="P6" s="48">
        <v>526</v>
      </c>
      <c r="Q6" s="104">
        <v>610</v>
      </c>
      <c r="R6" s="217">
        <v>666</v>
      </c>
      <c r="S6" s="200">
        <v>683</v>
      </c>
      <c r="T6" s="48">
        <v>750</v>
      </c>
      <c r="U6" s="104">
        <v>734</v>
      </c>
      <c r="V6" s="217">
        <v>623</v>
      </c>
      <c r="W6" s="200">
        <v>704</v>
      </c>
      <c r="X6" s="48">
        <v>792</v>
      </c>
      <c r="Y6" s="104">
        <v>703</v>
      </c>
      <c r="Z6" s="217">
        <v>644</v>
      </c>
      <c r="AA6" s="200">
        <v>664</v>
      </c>
      <c r="AB6" s="48">
        <v>729</v>
      </c>
      <c r="AC6" s="104">
        <v>505</v>
      </c>
      <c r="AD6" s="217">
        <v>497</v>
      </c>
      <c r="AE6" s="200">
        <v>457</v>
      </c>
      <c r="AF6" s="48">
        <v>646</v>
      </c>
      <c r="AG6" s="104">
        <v>468</v>
      </c>
      <c r="AI6" s="314">
        <v>2258</v>
      </c>
      <c r="AJ6" s="314">
        <f>SUM(F6:I6)</f>
        <v>272</v>
      </c>
      <c r="AK6" s="314">
        <f>SUM(J6:M6)</f>
        <v>80</v>
      </c>
      <c r="AL6" s="314">
        <f>N6+O6+P6+Q6</f>
        <v>1906</v>
      </c>
      <c r="AM6" s="314">
        <f>SUM(R6:U6)</f>
        <v>2833</v>
      </c>
      <c r="AN6" s="314">
        <v>2822</v>
      </c>
      <c r="AO6" s="314">
        <v>2542</v>
      </c>
      <c r="AP6" s="314">
        <f>SUM(AD6:AG6)</f>
        <v>2068</v>
      </c>
      <c r="AT6" s="31"/>
    </row>
    <row r="7" spans="1:46" ht="6" customHeight="1" x14ac:dyDescent="0.35">
      <c r="A7" s="24"/>
      <c r="B7" s="218"/>
      <c r="C7" s="91"/>
      <c r="D7" s="34"/>
      <c r="E7" s="105"/>
      <c r="F7" s="218"/>
      <c r="G7" s="91"/>
      <c r="H7" s="34"/>
      <c r="I7" s="105"/>
      <c r="J7" s="218"/>
      <c r="K7" s="91"/>
      <c r="L7" s="34"/>
      <c r="M7" s="105"/>
      <c r="N7" s="218"/>
      <c r="O7" s="91"/>
      <c r="P7" s="34"/>
      <c r="Q7" s="105"/>
      <c r="R7" s="218"/>
      <c r="S7" s="91"/>
      <c r="T7" s="34"/>
      <c r="U7" s="105"/>
      <c r="V7" s="218"/>
      <c r="W7" s="91"/>
      <c r="X7" s="34"/>
      <c r="Y7" s="105"/>
      <c r="Z7" s="218"/>
      <c r="AA7" s="91"/>
      <c r="AB7" s="34"/>
      <c r="AC7" s="105"/>
      <c r="AD7" s="218"/>
      <c r="AE7" s="91"/>
      <c r="AF7" s="34"/>
      <c r="AG7" s="105"/>
      <c r="AI7" s="137"/>
      <c r="AJ7" s="137"/>
      <c r="AK7" s="137"/>
      <c r="AL7" s="137"/>
      <c r="AM7" s="137"/>
      <c r="AN7" s="137"/>
      <c r="AO7" s="137"/>
      <c r="AP7" s="137"/>
    </row>
    <row r="8" spans="1:46" s="65" customFormat="1" ht="25.5" hidden="1" customHeight="1" x14ac:dyDescent="0.35">
      <c r="A8" s="60" t="s">
        <v>156</v>
      </c>
      <c r="B8" s="236" t="s">
        <v>91</v>
      </c>
      <c r="C8" s="211" t="s">
        <v>91</v>
      </c>
      <c r="D8" s="295">
        <v>0</v>
      </c>
      <c r="E8" s="174" t="s">
        <v>91</v>
      </c>
      <c r="F8" s="236" t="s">
        <v>91</v>
      </c>
      <c r="G8" s="295">
        <v>0</v>
      </c>
      <c r="H8" s="295">
        <v>0</v>
      </c>
      <c r="I8" s="174">
        <v>0</v>
      </c>
      <c r="J8" s="236">
        <v>0</v>
      </c>
      <c r="K8" s="295">
        <v>0</v>
      </c>
      <c r="L8" s="295">
        <v>0</v>
      </c>
      <c r="M8" s="174">
        <v>0</v>
      </c>
      <c r="N8" s="236">
        <v>0</v>
      </c>
      <c r="O8" s="295">
        <v>0</v>
      </c>
      <c r="P8" s="295">
        <v>0</v>
      </c>
      <c r="Q8" s="174">
        <v>0</v>
      </c>
      <c r="R8" s="236">
        <v>0</v>
      </c>
      <c r="S8" s="295">
        <v>0</v>
      </c>
      <c r="T8" s="295">
        <v>0</v>
      </c>
      <c r="U8" s="174">
        <v>0</v>
      </c>
      <c r="V8" s="236">
        <v>0</v>
      </c>
      <c r="W8" s="295"/>
      <c r="X8" s="295"/>
      <c r="Y8" s="174"/>
      <c r="Z8" s="236"/>
      <c r="AA8" s="295"/>
      <c r="AB8" s="295"/>
      <c r="AC8" s="174"/>
      <c r="AD8" s="236"/>
      <c r="AE8" s="295"/>
      <c r="AF8" s="295"/>
      <c r="AG8" s="174"/>
      <c r="AI8" s="174" t="s">
        <v>91</v>
      </c>
      <c r="AJ8" s="174">
        <f>SUM(F8:I8)</f>
        <v>0</v>
      </c>
      <c r="AK8" s="174">
        <f>SUM(J8:M8)</f>
        <v>0</v>
      </c>
      <c r="AL8" s="174">
        <f>N8+O8+P8+Q8</f>
        <v>0</v>
      </c>
      <c r="AM8" s="174">
        <f>SUM(R8:U8)</f>
        <v>0</v>
      </c>
      <c r="AN8" s="174">
        <v>0</v>
      </c>
      <c r="AO8" s="174">
        <v>0</v>
      </c>
      <c r="AP8" s="174"/>
    </row>
    <row r="9" spans="1:46" s="65" customFormat="1" ht="25.5" customHeight="1" x14ac:dyDescent="0.35">
      <c r="A9" s="60" t="s">
        <v>157</v>
      </c>
      <c r="B9" s="219"/>
      <c r="C9" s="290"/>
      <c r="D9" s="39"/>
      <c r="E9" s="315"/>
      <c r="F9" s="219"/>
      <c r="G9" s="290"/>
      <c r="H9" s="39"/>
      <c r="I9" s="315"/>
      <c r="J9" s="219"/>
      <c r="K9" s="290"/>
      <c r="L9" s="39"/>
      <c r="M9" s="315"/>
      <c r="N9" s="219"/>
      <c r="O9" s="290"/>
      <c r="P9" s="39"/>
      <c r="Q9" s="315"/>
      <c r="R9" s="219"/>
      <c r="S9" s="290"/>
      <c r="T9" s="39"/>
      <c r="U9" s="315"/>
      <c r="V9" s="219"/>
      <c r="W9" s="290"/>
      <c r="X9" s="39"/>
      <c r="Y9" s="315"/>
      <c r="Z9" s="219"/>
      <c r="AA9" s="290"/>
      <c r="AB9" s="39"/>
      <c r="AC9" s="315"/>
      <c r="AD9" s="219"/>
      <c r="AE9" s="290"/>
      <c r="AF9" s="39"/>
      <c r="AG9" s="315"/>
      <c r="AI9" s="137"/>
      <c r="AJ9" s="137"/>
      <c r="AK9" s="137"/>
      <c r="AL9" s="137"/>
      <c r="AM9" s="137"/>
      <c r="AN9" s="137"/>
      <c r="AO9" s="137"/>
      <c r="AP9" s="137"/>
      <c r="AT9" s="31"/>
    </row>
    <row r="10" spans="1:46" ht="13.7" customHeight="1" x14ac:dyDescent="0.35">
      <c r="A10" s="64" t="s">
        <v>158</v>
      </c>
      <c r="B10" s="218">
        <v>491</v>
      </c>
      <c r="C10" s="91">
        <v>496</v>
      </c>
      <c r="D10" s="34">
        <v>497</v>
      </c>
      <c r="E10" s="105">
        <v>503</v>
      </c>
      <c r="F10" s="218">
        <v>502</v>
      </c>
      <c r="G10" s="91">
        <v>506</v>
      </c>
      <c r="H10" s="34">
        <v>517</v>
      </c>
      <c r="I10" s="105">
        <v>522</v>
      </c>
      <c r="J10" s="218">
        <v>540</v>
      </c>
      <c r="K10" s="91">
        <v>543</v>
      </c>
      <c r="L10" s="34">
        <v>589</v>
      </c>
      <c r="M10" s="105">
        <v>316</v>
      </c>
      <c r="N10" s="218">
        <v>341</v>
      </c>
      <c r="O10" s="91">
        <v>305</v>
      </c>
      <c r="P10" s="34">
        <v>306</v>
      </c>
      <c r="Q10" s="105">
        <v>310</v>
      </c>
      <c r="R10" s="218">
        <v>310</v>
      </c>
      <c r="S10" s="91">
        <v>317</v>
      </c>
      <c r="T10" s="34">
        <v>321</v>
      </c>
      <c r="U10" s="105">
        <v>302</v>
      </c>
      <c r="V10" s="218">
        <v>283</v>
      </c>
      <c r="W10" s="91">
        <v>281</v>
      </c>
      <c r="X10" s="34">
        <v>273</v>
      </c>
      <c r="Y10" s="105">
        <v>269</v>
      </c>
      <c r="Z10" s="218">
        <v>235</v>
      </c>
      <c r="AA10" s="91">
        <v>213</v>
      </c>
      <c r="AB10" s="34">
        <v>218</v>
      </c>
      <c r="AC10" s="105">
        <v>259</v>
      </c>
      <c r="AD10" s="218">
        <v>209</v>
      </c>
      <c r="AE10" s="91">
        <v>207</v>
      </c>
      <c r="AF10" s="34">
        <v>201</v>
      </c>
      <c r="AG10" s="105">
        <v>215</v>
      </c>
      <c r="AI10" s="137">
        <v>1987</v>
      </c>
      <c r="AJ10" s="137">
        <f t="shared" ref="AJ10:AJ16" si="0">SUM(F10:I10)</f>
        <v>2047</v>
      </c>
      <c r="AK10" s="137">
        <f t="shared" ref="AK10:AK18" si="1">SUM(J10:M10)</f>
        <v>1988</v>
      </c>
      <c r="AL10" s="137">
        <f t="shared" ref="AL10:AL18" si="2">N10+O10+P10+Q10</f>
        <v>1262</v>
      </c>
      <c r="AM10" s="137">
        <f t="shared" ref="AM10:AM18" si="3">SUM(R10:U10)</f>
        <v>1250</v>
      </c>
      <c r="AN10" s="137">
        <v>1106</v>
      </c>
      <c r="AO10" s="137">
        <v>925</v>
      </c>
      <c r="AP10" s="137">
        <f t="shared" ref="AP10:AP18" si="4">SUM(AD10:AG10)</f>
        <v>832</v>
      </c>
      <c r="AT10" s="31"/>
    </row>
    <row r="11" spans="1:46" ht="13.7" customHeight="1" x14ac:dyDescent="0.35">
      <c r="A11" s="64" t="s">
        <v>9</v>
      </c>
      <c r="B11" s="218">
        <v>69</v>
      </c>
      <c r="C11" s="91">
        <v>69</v>
      </c>
      <c r="D11" s="34">
        <v>83</v>
      </c>
      <c r="E11" s="105">
        <v>93</v>
      </c>
      <c r="F11" s="218">
        <v>86</v>
      </c>
      <c r="G11" s="91">
        <v>87</v>
      </c>
      <c r="H11" s="34">
        <v>84</v>
      </c>
      <c r="I11" s="105">
        <v>89</v>
      </c>
      <c r="J11" s="218">
        <v>107</v>
      </c>
      <c r="K11" s="91">
        <v>105</v>
      </c>
      <c r="L11" s="34">
        <v>83</v>
      </c>
      <c r="M11" s="105">
        <v>89</v>
      </c>
      <c r="N11" s="218">
        <v>91</v>
      </c>
      <c r="O11" s="91">
        <v>93</v>
      </c>
      <c r="P11" s="34">
        <v>81</v>
      </c>
      <c r="Q11" s="105">
        <v>88</v>
      </c>
      <c r="R11" s="218">
        <v>89</v>
      </c>
      <c r="S11" s="91">
        <v>89</v>
      </c>
      <c r="T11" s="34">
        <v>89</v>
      </c>
      <c r="U11" s="105">
        <v>97</v>
      </c>
      <c r="V11" s="218">
        <v>99</v>
      </c>
      <c r="W11" s="91">
        <v>102</v>
      </c>
      <c r="X11" s="34">
        <v>103</v>
      </c>
      <c r="Y11" s="105">
        <v>107</v>
      </c>
      <c r="Z11" s="218">
        <v>115</v>
      </c>
      <c r="AA11" s="91">
        <v>114</v>
      </c>
      <c r="AB11" s="34">
        <v>115</v>
      </c>
      <c r="AC11" s="105">
        <v>117</v>
      </c>
      <c r="AD11" s="218">
        <v>127</v>
      </c>
      <c r="AE11" s="91">
        <v>117</v>
      </c>
      <c r="AF11" s="34">
        <v>118</v>
      </c>
      <c r="AG11" s="105">
        <v>100</v>
      </c>
      <c r="AI11" s="137">
        <v>314</v>
      </c>
      <c r="AJ11" s="137">
        <f t="shared" si="0"/>
        <v>346</v>
      </c>
      <c r="AK11" s="137">
        <f t="shared" si="1"/>
        <v>384</v>
      </c>
      <c r="AL11" s="137">
        <f t="shared" si="2"/>
        <v>353</v>
      </c>
      <c r="AM11" s="137">
        <f t="shared" si="3"/>
        <v>364</v>
      </c>
      <c r="AN11" s="137">
        <v>411</v>
      </c>
      <c r="AO11" s="137">
        <v>461</v>
      </c>
      <c r="AP11" s="137">
        <f t="shared" si="4"/>
        <v>462</v>
      </c>
      <c r="AT11" s="31"/>
    </row>
    <row r="12" spans="1:46" ht="13.7" customHeight="1" x14ac:dyDescent="0.35">
      <c r="A12" s="230" t="s">
        <v>159</v>
      </c>
      <c r="B12" s="218">
        <v>10</v>
      </c>
      <c r="C12" s="91">
        <v>11</v>
      </c>
      <c r="D12" s="34">
        <v>10</v>
      </c>
      <c r="E12" s="105">
        <v>11</v>
      </c>
      <c r="F12" s="218">
        <v>11</v>
      </c>
      <c r="G12" s="91">
        <v>11</v>
      </c>
      <c r="H12" s="34">
        <v>12</v>
      </c>
      <c r="I12" s="105">
        <v>8</v>
      </c>
      <c r="J12" s="30">
        <v>0</v>
      </c>
      <c r="K12" s="91">
        <v>-1</v>
      </c>
      <c r="L12" s="30">
        <v>0</v>
      </c>
      <c r="M12" s="105">
        <v>0</v>
      </c>
      <c r="N12" s="30">
        <v>0</v>
      </c>
      <c r="O12" s="91">
        <v>1</v>
      </c>
      <c r="P12" s="30">
        <v>0</v>
      </c>
      <c r="Q12" s="105">
        <v>0</v>
      </c>
      <c r="R12" s="30">
        <v>1</v>
      </c>
      <c r="S12" s="295">
        <v>0</v>
      </c>
      <c r="T12" s="30">
        <v>1</v>
      </c>
      <c r="U12" s="105">
        <v>0</v>
      </c>
      <c r="V12" s="30">
        <v>1</v>
      </c>
      <c r="W12" s="295">
        <v>0</v>
      </c>
      <c r="X12" s="30">
        <v>1</v>
      </c>
      <c r="Y12" s="105">
        <v>0</v>
      </c>
      <c r="Z12" s="30">
        <v>1</v>
      </c>
      <c r="AA12" s="295">
        <v>1</v>
      </c>
      <c r="AB12" s="30">
        <v>0</v>
      </c>
      <c r="AC12" s="105">
        <v>1</v>
      </c>
      <c r="AD12" s="30">
        <v>1</v>
      </c>
      <c r="AE12" s="295">
        <v>0</v>
      </c>
      <c r="AF12" s="30">
        <v>1</v>
      </c>
      <c r="AG12" s="105">
        <v>1</v>
      </c>
      <c r="AI12" s="137">
        <v>42</v>
      </c>
      <c r="AJ12" s="137">
        <f t="shared" si="0"/>
        <v>42</v>
      </c>
      <c r="AK12" s="137">
        <f t="shared" si="1"/>
        <v>-1</v>
      </c>
      <c r="AL12" s="137">
        <f t="shared" si="2"/>
        <v>1</v>
      </c>
      <c r="AM12" s="137">
        <f t="shared" si="3"/>
        <v>2</v>
      </c>
      <c r="AN12" s="137">
        <v>2</v>
      </c>
      <c r="AO12" s="137">
        <v>3</v>
      </c>
      <c r="AP12" s="137">
        <f t="shared" si="4"/>
        <v>3</v>
      </c>
      <c r="AT12" s="31"/>
    </row>
    <row r="13" spans="1:46" ht="13.7" customHeight="1" x14ac:dyDescent="0.35">
      <c r="A13" s="230" t="s">
        <v>160</v>
      </c>
      <c r="B13" s="226">
        <v>3</v>
      </c>
      <c r="C13" s="245">
        <v>2</v>
      </c>
      <c r="D13" s="245">
        <v>2</v>
      </c>
      <c r="E13" s="105">
        <v>3</v>
      </c>
      <c r="F13" s="226">
        <v>3</v>
      </c>
      <c r="G13" s="245">
        <v>3</v>
      </c>
      <c r="H13" s="245">
        <v>2</v>
      </c>
      <c r="I13" s="105">
        <v>3</v>
      </c>
      <c r="J13" s="226">
        <v>1</v>
      </c>
      <c r="K13" s="245">
        <v>3</v>
      </c>
      <c r="L13" s="245">
        <v>3</v>
      </c>
      <c r="M13" s="105">
        <v>2</v>
      </c>
      <c r="N13" s="226">
        <v>2</v>
      </c>
      <c r="O13" s="245">
        <v>1</v>
      </c>
      <c r="P13" s="245">
        <v>2</v>
      </c>
      <c r="Q13" s="105">
        <v>2</v>
      </c>
      <c r="R13" s="226">
        <v>2</v>
      </c>
      <c r="S13" s="245">
        <v>1</v>
      </c>
      <c r="T13" s="245">
        <v>2</v>
      </c>
      <c r="U13" s="105">
        <v>2</v>
      </c>
      <c r="V13" s="226">
        <v>2</v>
      </c>
      <c r="W13" s="245">
        <v>2</v>
      </c>
      <c r="X13" s="245">
        <v>2</v>
      </c>
      <c r="Y13" s="105">
        <v>2</v>
      </c>
      <c r="Z13" s="226">
        <v>2</v>
      </c>
      <c r="AA13" s="245">
        <v>1</v>
      </c>
      <c r="AB13" s="245">
        <v>2</v>
      </c>
      <c r="AC13" s="105">
        <v>2</v>
      </c>
      <c r="AD13" s="226">
        <v>1</v>
      </c>
      <c r="AE13" s="245">
        <v>2</v>
      </c>
      <c r="AF13" s="245">
        <v>2</v>
      </c>
      <c r="AG13" s="105">
        <v>2</v>
      </c>
      <c r="AI13" s="137">
        <v>10</v>
      </c>
      <c r="AJ13" s="137">
        <f t="shared" si="0"/>
        <v>11</v>
      </c>
      <c r="AK13" s="137">
        <f t="shared" si="1"/>
        <v>9</v>
      </c>
      <c r="AL13" s="137">
        <f t="shared" si="2"/>
        <v>7</v>
      </c>
      <c r="AM13" s="137">
        <f t="shared" si="3"/>
        <v>7</v>
      </c>
      <c r="AN13" s="137">
        <v>8</v>
      </c>
      <c r="AO13" s="137">
        <v>7</v>
      </c>
      <c r="AP13" s="137">
        <f t="shared" si="4"/>
        <v>7</v>
      </c>
      <c r="AT13" s="31"/>
    </row>
    <row r="14" spans="1:46" ht="13.7" customHeight="1" x14ac:dyDescent="0.35">
      <c r="A14" s="64" t="s">
        <v>161</v>
      </c>
      <c r="B14" s="226" t="s">
        <v>91</v>
      </c>
      <c r="C14" s="91" t="s">
        <v>91</v>
      </c>
      <c r="D14" s="30">
        <v>0</v>
      </c>
      <c r="E14" s="105">
        <v>0</v>
      </c>
      <c r="F14" s="226">
        <v>0</v>
      </c>
      <c r="G14" s="91">
        <v>1</v>
      </c>
      <c r="H14" s="30">
        <v>-21</v>
      </c>
      <c r="I14" s="105">
        <v>0</v>
      </c>
      <c r="J14" s="226">
        <v>-110</v>
      </c>
      <c r="K14" s="295">
        <v>0</v>
      </c>
      <c r="L14" s="30">
        <v>-1</v>
      </c>
      <c r="M14" s="105">
        <v>-4</v>
      </c>
      <c r="N14" s="226">
        <v>0</v>
      </c>
      <c r="O14" s="295">
        <v>0</v>
      </c>
      <c r="P14" s="30">
        <v>0</v>
      </c>
      <c r="Q14" s="105">
        <v>-1</v>
      </c>
      <c r="R14" s="226">
        <v>-1</v>
      </c>
      <c r="S14" s="295">
        <v>0</v>
      </c>
      <c r="T14" s="30">
        <v>-1</v>
      </c>
      <c r="U14" s="105">
        <v>2</v>
      </c>
      <c r="V14" s="226">
        <v>0</v>
      </c>
      <c r="W14" s="295">
        <v>-1</v>
      </c>
      <c r="X14" s="30">
        <v>0</v>
      </c>
      <c r="Y14" s="105">
        <v>0</v>
      </c>
      <c r="Z14" s="226">
        <v>-2</v>
      </c>
      <c r="AA14" s="295">
        <v>0</v>
      </c>
      <c r="AB14" s="30">
        <v>0</v>
      </c>
      <c r="AC14" s="105">
        <v>-1</v>
      </c>
      <c r="AD14" s="226">
        <v>-22</v>
      </c>
      <c r="AE14" s="295">
        <v>-6</v>
      </c>
      <c r="AF14" s="30">
        <v>-1</v>
      </c>
      <c r="AG14" s="105">
        <v>0</v>
      </c>
      <c r="AI14" s="137">
        <v>0</v>
      </c>
      <c r="AJ14" s="138">
        <f t="shared" si="0"/>
        <v>-20</v>
      </c>
      <c r="AK14" s="138">
        <f t="shared" si="1"/>
        <v>-115</v>
      </c>
      <c r="AL14" s="138">
        <f t="shared" si="2"/>
        <v>-1</v>
      </c>
      <c r="AM14" s="138">
        <f t="shared" si="3"/>
        <v>0</v>
      </c>
      <c r="AN14" s="138">
        <v>-1</v>
      </c>
      <c r="AO14" s="138">
        <v>-3</v>
      </c>
      <c r="AP14" s="138">
        <f t="shared" si="4"/>
        <v>-29</v>
      </c>
      <c r="AT14" s="31"/>
    </row>
    <row r="15" spans="1:46" ht="13.7" customHeight="1" x14ac:dyDescent="0.35">
      <c r="A15" s="64" t="s">
        <v>162</v>
      </c>
      <c r="B15" s="226" t="s">
        <v>91</v>
      </c>
      <c r="C15" s="91">
        <v>26</v>
      </c>
      <c r="D15" s="30">
        <v>0</v>
      </c>
      <c r="E15" s="105">
        <v>0</v>
      </c>
      <c r="F15" s="226">
        <v>0</v>
      </c>
      <c r="G15" s="91">
        <v>10</v>
      </c>
      <c r="H15" s="30">
        <v>1</v>
      </c>
      <c r="I15" s="105">
        <v>0</v>
      </c>
      <c r="J15" s="226">
        <v>0</v>
      </c>
      <c r="K15" s="295">
        <v>0</v>
      </c>
      <c r="L15" s="30">
        <v>0</v>
      </c>
      <c r="M15" s="105">
        <v>60</v>
      </c>
      <c r="N15" s="226">
        <v>0</v>
      </c>
      <c r="O15" s="295">
        <v>0</v>
      </c>
      <c r="P15" s="30">
        <v>0</v>
      </c>
      <c r="Q15" s="105">
        <v>22</v>
      </c>
      <c r="R15" s="226">
        <v>0</v>
      </c>
      <c r="S15" s="295">
        <v>18</v>
      </c>
      <c r="T15" s="30">
        <v>0</v>
      </c>
      <c r="U15" s="105">
        <v>0</v>
      </c>
      <c r="V15" s="226">
        <v>0</v>
      </c>
      <c r="W15" s="295">
        <v>0</v>
      </c>
      <c r="X15" s="30">
        <v>0</v>
      </c>
      <c r="Y15" s="105">
        <v>0</v>
      </c>
      <c r="Z15" s="226">
        <v>0</v>
      </c>
      <c r="AA15" s="295">
        <v>0</v>
      </c>
      <c r="AB15" s="30">
        <v>0</v>
      </c>
      <c r="AC15" s="105">
        <v>0</v>
      </c>
      <c r="AD15" s="226">
        <v>0</v>
      </c>
      <c r="AE15" s="295">
        <v>0</v>
      </c>
      <c r="AF15" s="30">
        <v>0</v>
      </c>
      <c r="AG15" s="105">
        <v>0</v>
      </c>
      <c r="AI15" s="174">
        <v>26</v>
      </c>
      <c r="AJ15" s="174">
        <f t="shared" si="0"/>
        <v>11</v>
      </c>
      <c r="AK15" s="174">
        <f t="shared" si="1"/>
        <v>60</v>
      </c>
      <c r="AL15" s="174">
        <f t="shared" si="2"/>
        <v>22</v>
      </c>
      <c r="AM15" s="174">
        <f t="shared" si="3"/>
        <v>18</v>
      </c>
      <c r="AN15" s="174">
        <v>0</v>
      </c>
      <c r="AO15" s="174">
        <v>0</v>
      </c>
      <c r="AP15" s="174">
        <f t="shared" si="4"/>
        <v>0</v>
      </c>
      <c r="AT15" s="31"/>
    </row>
    <row r="16" spans="1:46" ht="13.7" customHeight="1" x14ac:dyDescent="0.35">
      <c r="A16" s="64" t="s">
        <v>95</v>
      </c>
      <c r="B16" s="218">
        <v>-2</v>
      </c>
      <c r="C16" s="91">
        <v>1</v>
      </c>
      <c r="D16" s="34">
        <v>-52</v>
      </c>
      <c r="E16" s="105">
        <v>-1</v>
      </c>
      <c r="F16" s="218">
        <v>-4</v>
      </c>
      <c r="G16" s="91">
        <v>1</v>
      </c>
      <c r="H16" s="34">
        <v>1</v>
      </c>
      <c r="I16" s="105">
        <v>1</v>
      </c>
      <c r="J16" s="218">
        <v>1</v>
      </c>
      <c r="K16" s="91">
        <v>1</v>
      </c>
      <c r="L16" s="34">
        <v>1</v>
      </c>
      <c r="M16" s="105">
        <v>1</v>
      </c>
      <c r="N16" s="218">
        <v>1</v>
      </c>
      <c r="O16" s="91">
        <v>2</v>
      </c>
      <c r="P16" s="34">
        <v>-3</v>
      </c>
      <c r="Q16" s="105">
        <v>2</v>
      </c>
      <c r="R16" s="218">
        <v>-12</v>
      </c>
      <c r="S16" s="91">
        <v>3</v>
      </c>
      <c r="T16" s="34">
        <v>4</v>
      </c>
      <c r="U16" s="105">
        <v>6</v>
      </c>
      <c r="V16" s="218">
        <v>2</v>
      </c>
      <c r="W16" s="91">
        <v>1</v>
      </c>
      <c r="X16" s="34">
        <v>2</v>
      </c>
      <c r="Y16" s="105">
        <v>2</v>
      </c>
      <c r="Z16" s="218">
        <v>1</v>
      </c>
      <c r="AA16" s="91">
        <v>3</v>
      </c>
      <c r="AB16" s="34">
        <v>6</v>
      </c>
      <c r="AC16" s="105">
        <v>2</v>
      </c>
      <c r="AD16" s="218">
        <v>4</v>
      </c>
      <c r="AE16" s="91">
        <v>28</v>
      </c>
      <c r="AF16" s="34">
        <v>1</v>
      </c>
      <c r="AG16" s="105">
        <v>37</v>
      </c>
      <c r="AI16" s="137">
        <v>-54</v>
      </c>
      <c r="AJ16" s="137">
        <f t="shared" si="0"/>
        <v>-1</v>
      </c>
      <c r="AK16" s="137">
        <f t="shared" si="1"/>
        <v>4</v>
      </c>
      <c r="AL16" s="137">
        <f t="shared" si="2"/>
        <v>2</v>
      </c>
      <c r="AM16" s="137">
        <f t="shared" si="3"/>
        <v>1</v>
      </c>
      <c r="AN16" s="137">
        <v>7</v>
      </c>
      <c r="AO16" s="137">
        <v>12</v>
      </c>
      <c r="AP16" s="137">
        <f t="shared" si="4"/>
        <v>70</v>
      </c>
      <c r="AT16" s="31"/>
    </row>
    <row r="17" spans="1:46" ht="13.7" customHeight="1" x14ac:dyDescent="0.35">
      <c r="A17" s="64" t="s">
        <v>163</v>
      </c>
      <c r="B17" s="218"/>
      <c r="C17" s="91"/>
      <c r="D17" s="34"/>
      <c r="E17" s="105"/>
      <c r="F17" s="218"/>
      <c r="G17" s="91"/>
      <c r="H17" s="34"/>
      <c r="I17" s="105"/>
      <c r="J17" s="218"/>
      <c r="K17" s="91"/>
      <c r="L17" s="34"/>
      <c r="M17" s="105">
        <v>-21</v>
      </c>
      <c r="N17" s="218">
        <v>-3</v>
      </c>
      <c r="O17" s="91">
        <v>5</v>
      </c>
      <c r="P17" s="34">
        <v>-4</v>
      </c>
      <c r="Q17" s="105">
        <v>4</v>
      </c>
      <c r="R17" s="218">
        <v>-4</v>
      </c>
      <c r="S17" s="91">
        <v>8</v>
      </c>
      <c r="T17" s="34">
        <v>2</v>
      </c>
      <c r="U17" s="105">
        <v>-2</v>
      </c>
      <c r="V17" s="218">
        <v>1</v>
      </c>
      <c r="W17" s="91">
        <v>-6</v>
      </c>
      <c r="X17" s="34">
        <v>4</v>
      </c>
      <c r="Y17" s="105">
        <v>0</v>
      </c>
      <c r="Z17" s="218">
        <v>2</v>
      </c>
      <c r="AA17" s="91">
        <v>3</v>
      </c>
      <c r="AB17" s="34">
        <v>7</v>
      </c>
      <c r="AC17" s="105">
        <v>6</v>
      </c>
      <c r="AD17" s="218">
        <v>6</v>
      </c>
      <c r="AE17" s="91">
        <v>-3</v>
      </c>
      <c r="AF17" s="34">
        <v>-1</v>
      </c>
      <c r="AG17" s="105">
        <v>0</v>
      </c>
      <c r="AI17" s="137"/>
      <c r="AJ17" s="137"/>
      <c r="AK17" s="137">
        <f t="shared" si="1"/>
        <v>-21</v>
      </c>
      <c r="AL17" s="137">
        <f t="shared" si="2"/>
        <v>2</v>
      </c>
      <c r="AM17" s="137">
        <f t="shared" si="3"/>
        <v>4</v>
      </c>
      <c r="AN17" s="137">
        <v>-1</v>
      </c>
      <c r="AO17" s="137">
        <v>18</v>
      </c>
      <c r="AP17" s="137">
        <f t="shared" si="4"/>
        <v>2</v>
      </c>
      <c r="AT17" s="31"/>
    </row>
    <row r="18" spans="1:46" ht="13.7" customHeight="1" x14ac:dyDescent="0.35">
      <c r="A18" s="64" t="s">
        <v>164</v>
      </c>
      <c r="B18" s="218">
        <v>-42</v>
      </c>
      <c r="C18" s="91">
        <v>-67</v>
      </c>
      <c r="D18" s="34">
        <v>-50</v>
      </c>
      <c r="E18" s="105">
        <v>-52</v>
      </c>
      <c r="F18" s="218">
        <v>-63</v>
      </c>
      <c r="G18" s="91">
        <v>-30</v>
      </c>
      <c r="H18" s="34">
        <v>-33</v>
      </c>
      <c r="I18" s="105">
        <v>-49</v>
      </c>
      <c r="J18" s="218">
        <v>-75</v>
      </c>
      <c r="K18" s="91">
        <v>-81</v>
      </c>
      <c r="L18" s="34">
        <v>-118</v>
      </c>
      <c r="M18" s="105">
        <v>-75</v>
      </c>
      <c r="N18" s="218">
        <v>12</v>
      </c>
      <c r="O18" s="295">
        <v>0</v>
      </c>
      <c r="P18" s="34">
        <v>-6</v>
      </c>
      <c r="Q18" s="105">
        <v>-26</v>
      </c>
      <c r="R18" s="218">
        <v>-33</v>
      </c>
      <c r="S18" s="295">
        <v>-65</v>
      </c>
      <c r="T18" s="34">
        <v>-98</v>
      </c>
      <c r="U18" s="105">
        <v>-40</v>
      </c>
      <c r="V18" s="218">
        <v>-62</v>
      </c>
      <c r="W18" s="295">
        <v>-75</v>
      </c>
      <c r="X18" s="34">
        <v>-33</v>
      </c>
      <c r="Y18" s="105">
        <v>-97</v>
      </c>
      <c r="Z18" s="218">
        <v>-64</v>
      </c>
      <c r="AA18" s="295">
        <v>-23</v>
      </c>
      <c r="AB18" s="34">
        <v>-40</v>
      </c>
      <c r="AC18" s="105">
        <v>-145</v>
      </c>
      <c r="AD18" s="218">
        <v>-27</v>
      </c>
      <c r="AE18" s="295">
        <v>3</v>
      </c>
      <c r="AF18" s="34">
        <v>-8</v>
      </c>
      <c r="AG18" s="105">
        <v>24</v>
      </c>
      <c r="AI18" s="137">
        <v>-211</v>
      </c>
      <c r="AJ18" s="137">
        <f>SUM(F18:I18)</f>
        <v>-175</v>
      </c>
      <c r="AK18" s="137">
        <f t="shared" si="1"/>
        <v>-349</v>
      </c>
      <c r="AL18" s="137">
        <f t="shared" si="2"/>
        <v>-20</v>
      </c>
      <c r="AM18" s="137">
        <f t="shared" si="3"/>
        <v>-236</v>
      </c>
      <c r="AN18" s="137">
        <v>-267</v>
      </c>
      <c r="AO18" s="137">
        <v>-272</v>
      </c>
      <c r="AP18" s="137">
        <f t="shared" si="4"/>
        <v>-8</v>
      </c>
      <c r="AT18" s="31"/>
    </row>
    <row r="19" spans="1:46" ht="6" customHeight="1" x14ac:dyDescent="0.35">
      <c r="A19" s="60"/>
      <c r="B19" s="218"/>
      <c r="C19" s="91"/>
      <c r="D19" s="34"/>
      <c r="E19" s="105"/>
      <c r="F19" s="218"/>
      <c r="G19" s="91"/>
      <c r="H19" s="34"/>
      <c r="I19" s="105"/>
      <c r="J19" s="218"/>
      <c r="K19" s="91"/>
      <c r="L19" s="34"/>
      <c r="M19" s="105"/>
      <c r="N19" s="218"/>
      <c r="O19" s="91"/>
      <c r="P19" s="34"/>
      <c r="Q19" s="105"/>
      <c r="R19" s="218"/>
      <c r="S19" s="91"/>
      <c r="T19" s="34"/>
      <c r="U19" s="105"/>
      <c r="V19" s="218"/>
      <c r="W19" s="91"/>
      <c r="X19" s="34"/>
      <c r="Y19" s="105"/>
      <c r="Z19" s="218"/>
      <c r="AA19" s="91"/>
      <c r="AB19" s="34"/>
      <c r="AC19" s="105"/>
      <c r="AD19" s="218"/>
      <c r="AE19" s="91"/>
      <c r="AF19" s="34"/>
      <c r="AG19" s="105"/>
      <c r="AI19" s="137"/>
      <c r="AJ19" s="137"/>
      <c r="AK19" s="137"/>
      <c r="AL19" s="137"/>
      <c r="AM19" s="137"/>
      <c r="AN19" s="137"/>
      <c r="AO19" s="137"/>
      <c r="AP19" s="137"/>
      <c r="AT19" s="31"/>
    </row>
    <row r="20" spans="1:46" ht="13.7" customHeight="1" x14ac:dyDescent="0.35">
      <c r="A20" s="61" t="s">
        <v>165</v>
      </c>
      <c r="B20" s="218"/>
      <c r="C20" s="91"/>
      <c r="D20" s="34"/>
      <c r="E20" s="105"/>
      <c r="F20" s="218"/>
      <c r="G20" s="91"/>
      <c r="H20" s="34"/>
      <c r="I20" s="105"/>
      <c r="J20" s="218"/>
      <c r="K20" s="91"/>
      <c r="L20" s="34"/>
      <c r="M20" s="105"/>
      <c r="N20" s="218"/>
      <c r="O20" s="91"/>
      <c r="P20" s="34"/>
      <c r="Q20" s="105"/>
      <c r="R20" s="218"/>
      <c r="S20" s="91"/>
      <c r="T20" s="34"/>
      <c r="U20" s="105"/>
      <c r="V20" s="218"/>
      <c r="W20" s="91"/>
      <c r="X20" s="34"/>
      <c r="Y20" s="105"/>
      <c r="Z20" s="218"/>
      <c r="AA20" s="91"/>
      <c r="AB20" s="34"/>
      <c r="AC20" s="105"/>
      <c r="AD20" s="218"/>
      <c r="AE20" s="91"/>
      <c r="AF20" s="34"/>
      <c r="AG20" s="105"/>
      <c r="AI20" s="137"/>
      <c r="AJ20" s="137"/>
      <c r="AK20" s="137"/>
      <c r="AL20" s="137"/>
      <c r="AM20" s="137"/>
      <c r="AN20" s="137"/>
      <c r="AO20" s="137"/>
      <c r="AP20" s="137"/>
      <c r="AT20" s="31"/>
    </row>
    <row r="21" spans="1:46" ht="13.7" customHeight="1" x14ac:dyDescent="0.35">
      <c r="A21" s="60" t="s">
        <v>166</v>
      </c>
      <c r="B21" s="218">
        <v>81</v>
      </c>
      <c r="C21" s="91">
        <v>86</v>
      </c>
      <c r="D21" s="34">
        <v>-31</v>
      </c>
      <c r="E21" s="105">
        <v>51</v>
      </c>
      <c r="F21" s="218">
        <v>-42</v>
      </c>
      <c r="G21" s="91">
        <v>31</v>
      </c>
      <c r="H21" s="34">
        <v>-17</v>
      </c>
      <c r="I21" s="105">
        <v>144</v>
      </c>
      <c r="J21" s="218">
        <v>27</v>
      </c>
      <c r="K21" s="91">
        <v>224</v>
      </c>
      <c r="L21" s="34">
        <v>-252</v>
      </c>
      <c r="M21" s="105">
        <v>-50</v>
      </c>
      <c r="N21" s="218">
        <v>-95</v>
      </c>
      <c r="O21" s="91">
        <v>-135</v>
      </c>
      <c r="P21" s="34">
        <v>16</v>
      </c>
      <c r="Q21" s="105">
        <v>38</v>
      </c>
      <c r="R21" s="218">
        <v>-61</v>
      </c>
      <c r="S21" s="91">
        <v>-50</v>
      </c>
      <c r="T21" s="34">
        <v>-54</v>
      </c>
      <c r="U21" s="105">
        <v>59</v>
      </c>
      <c r="V21" s="218">
        <v>-138</v>
      </c>
      <c r="W21" s="91">
        <v>-20</v>
      </c>
      <c r="X21" s="34">
        <v>40</v>
      </c>
      <c r="Y21" s="105">
        <v>-20</v>
      </c>
      <c r="Z21" s="218">
        <v>-25</v>
      </c>
      <c r="AA21" s="91">
        <v>10</v>
      </c>
      <c r="AB21" s="34">
        <v>-167</v>
      </c>
      <c r="AC21" s="105">
        <v>-25</v>
      </c>
      <c r="AD21" s="218">
        <v>-29</v>
      </c>
      <c r="AE21" s="91">
        <v>-106</v>
      </c>
      <c r="AF21" s="34">
        <v>54</v>
      </c>
      <c r="AG21" s="105">
        <v>38</v>
      </c>
      <c r="AI21" s="137">
        <v>187</v>
      </c>
      <c r="AJ21" s="137">
        <f>SUM(F21:I21)</f>
        <v>116</v>
      </c>
      <c r="AK21" s="137">
        <f>SUM(J21:M21)</f>
        <v>-51</v>
      </c>
      <c r="AL21" s="137">
        <f>N21+O21+P21+Q21</f>
        <v>-176</v>
      </c>
      <c r="AM21" s="137">
        <f>SUM(R21:U21)</f>
        <v>-106</v>
      </c>
      <c r="AN21" s="137">
        <v>-138</v>
      </c>
      <c r="AO21" s="137">
        <v>-207</v>
      </c>
      <c r="AP21" s="137">
        <f t="shared" ref="AP21:AP28" si="5">SUM(AD21:AG21)</f>
        <v>-43</v>
      </c>
      <c r="AT21" s="31"/>
    </row>
    <row r="22" spans="1:46" ht="13.7" customHeight="1" x14ac:dyDescent="0.35">
      <c r="A22" s="60" t="s">
        <v>167</v>
      </c>
      <c r="B22" s="218">
        <v>-36</v>
      </c>
      <c r="C22" s="91">
        <v>-76</v>
      </c>
      <c r="D22" s="34">
        <v>42</v>
      </c>
      <c r="E22" s="105">
        <v>5</v>
      </c>
      <c r="F22" s="218">
        <v>38</v>
      </c>
      <c r="G22" s="91">
        <v>84</v>
      </c>
      <c r="H22" s="34">
        <v>13</v>
      </c>
      <c r="I22" s="105">
        <v>-7</v>
      </c>
      <c r="J22" s="218">
        <v>-35</v>
      </c>
      <c r="K22" s="295">
        <v>0</v>
      </c>
      <c r="L22" s="34">
        <v>164</v>
      </c>
      <c r="M22" s="105">
        <v>34</v>
      </c>
      <c r="N22" s="218">
        <v>-26</v>
      </c>
      <c r="O22" s="295">
        <v>-60</v>
      </c>
      <c r="P22" s="34">
        <v>-57</v>
      </c>
      <c r="Q22" s="105">
        <v>-16</v>
      </c>
      <c r="R22" s="218">
        <v>-122</v>
      </c>
      <c r="S22" s="295">
        <v>-151</v>
      </c>
      <c r="T22" s="34">
        <v>-119</v>
      </c>
      <c r="U22" s="105">
        <v>-201</v>
      </c>
      <c r="V22" s="218">
        <v>-196</v>
      </c>
      <c r="W22" s="295">
        <v>-129</v>
      </c>
      <c r="X22" s="34">
        <v>-34</v>
      </c>
      <c r="Y22" s="105">
        <v>6</v>
      </c>
      <c r="Z22" s="218">
        <v>32</v>
      </c>
      <c r="AA22" s="295">
        <v>-46</v>
      </c>
      <c r="AB22" s="34">
        <v>-86</v>
      </c>
      <c r="AC22" s="105">
        <v>-122</v>
      </c>
      <c r="AD22" s="218">
        <v>6</v>
      </c>
      <c r="AE22" s="295">
        <v>-90</v>
      </c>
      <c r="AF22" s="34">
        <v>-96</v>
      </c>
      <c r="AG22" s="105">
        <v>-128</v>
      </c>
      <c r="AI22" s="137">
        <v>-65</v>
      </c>
      <c r="AJ22" s="137">
        <f>SUM(F22:I22)</f>
        <v>128</v>
      </c>
      <c r="AK22" s="137">
        <f>SUM(J22:M22)</f>
        <v>163</v>
      </c>
      <c r="AL22" s="137">
        <f>N22+O22+P22+Q22</f>
        <v>-159</v>
      </c>
      <c r="AM22" s="137">
        <f>SUM(R22:U22)</f>
        <v>-593</v>
      </c>
      <c r="AN22" s="137">
        <v>-353</v>
      </c>
      <c r="AO22" s="137">
        <v>-222</v>
      </c>
      <c r="AP22" s="137">
        <f t="shared" si="5"/>
        <v>-308</v>
      </c>
      <c r="AT22" s="31"/>
    </row>
    <row r="23" spans="1:46" ht="13.7" customHeight="1" x14ac:dyDescent="0.35">
      <c r="A23" s="62" t="s">
        <v>168</v>
      </c>
      <c r="B23" s="218" t="s">
        <v>91</v>
      </c>
      <c r="C23" s="91">
        <v>10</v>
      </c>
      <c r="D23" s="30">
        <v>-36</v>
      </c>
      <c r="E23" s="105">
        <v>4</v>
      </c>
      <c r="F23" s="218">
        <v>20</v>
      </c>
      <c r="G23" s="91">
        <v>-14</v>
      </c>
      <c r="H23" s="30">
        <v>30</v>
      </c>
      <c r="I23" s="105">
        <v>7</v>
      </c>
      <c r="J23" s="218">
        <v>4</v>
      </c>
      <c r="K23" s="91">
        <v>-11</v>
      </c>
      <c r="L23" s="30">
        <v>-9</v>
      </c>
      <c r="M23" s="105">
        <v>23</v>
      </c>
      <c r="N23" s="218">
        <v>-8</v>
      </c>
      <c r="O23" s="91">
        <v>-52</v>
      </c>
      <c r="P23" s="30">
        <v>-46</v>
      </c>
      <c r="Q23" s="105">
        <v>-244</v>
      </c>
      <c r="R23" s="218">
        <v>-247</v>
      </c>
      <c r="S23" s="91">
        <v>-41</v>
      </c>
      <c r="T23" s="30">
        <v>-37</v>
      </c>
      <c r="U23" s="105">
        <v>19</v>
      </c>
      <c r="V23" s="218">
        <v>-33</v>
      </c>
      <c r="W23" s="91">
        <v>33</v>
      </c>
      <c r="X23" s="30">
        <v>-49</v>
      </c>
      <c r="Y23" s="105">
        <v>65</v>
      </c>
      <c r="Z23" s="218">
        <v>6</v>
      </c>
      <c r="AA23" s="91">
        <v>40</v>
      </c>
      <c r="AB23" s="30">
        <v>-134</v>
      </c>
      <c r="AC23" s="105">
        <v>-218</v>
      </c>
      <c r="AD23" s="218">
        <v>-106</v>
      </c>
      <c r="AE23" s="91">
        <v>131</v>
      </c>
      <c r="AF23" s="30">
        <v>-123</v>
      </c>
      <c r="AG23" s="105">
        <v>-114</v>
      </c>
      <c r="AI23" s="137">
        <v>-22</v>
      </c>
      <c r="AJ23" s="137">
        <f>SUM(F23:I23)</f>
        <v>43</v>
      </c>
      <c r="AK23" s="137">
        <f>SUM(J23:M23)</f>
        <v>7</v>
      </c>
      <c r="AL23" s="137">
        <f>N23+O23+P23+Q23</f>
        <v>-350</v>
      </c>
      <c r="AM23" s="137">
        <f>SUM(R23:U23)</f>
        <v>-306</v>
      </c>
      <c r="AN23" s="137">
        <v>16</v>
      </c>
      <c r="AO23" s="137">
        <v>-306</v>
      </c>
      <c r="AP23" s="137">
        <f t="shared" si="5"/>
        <v>-212</v>
      </c>
      <c r="AT23" s="31"/>
    </row>
    <row r="24" spans="1:46" ht="13.7" customHeight="1" x14ac:dyDescent="0.35">
      <c r="A24" s="60" t="s">
        <v>169</v>
      </c>
      <c r="B24" s="218">
        <v>-26</v>
      </c>
      <c r="C24" s="91">
        <v>-225</v>
      </c>
      <c r="D24" s="34">
        <v>310</v>
      </c>
      <c r="E24" s="105">
        <v>-188</v>
      </c>
      <c r="F24" s="218">
        <v>-250</v>
      </c>
      <c r="G24" s="91">
        <v>-218</v>
      </c>
      <c r="H24" s="34">
        <v>43</v>
      </c>
      <c r="I24" s="105">
        <v>-35</v>
      </c>
      <c r="J24" s="218">
        <v>64</v>
      </c>
      <c r="K24" s="91">
        <v>-160</v>
      </c>
      <c r="L24" s="34">
        <v>82</v>
      </c>
      <c r="M24" s="105">
        <v>333</v>
      </c>
      <c r="N24" s="218">
        <v>51</v>
      </c>
      <c r="O24" s="91">
        <v>73</v>
      </c>
      <c r="P24" s="34">
        <v>118</v>
      </c>
      <c r="Q24" s="105">
        <v>6</v>
      </c>
      <c r="R24" s="218">
        <v>266</v>
      </c>
      <c r="S24" s="91">
        <v>4</v>
      </c>
      <c r="T24" s="34">
        <v>275</v>
      </c>
      <c r="U24" s="105">
        <v>88</v>
      </c>
      <c r="V24" s="218">
        <v>52</v>
      </c>
      <c r="W24" s="91">
        <v>-144</v>
      </c>
      <c r="X24" s="34">
        <v>-128</v>
      </c>
      <c r="Y24" s="105">
        <v>101</v>
      </c>
      <c r="Z24" s="218">
        <v>-102</v>
      </c>
      <c r="AA24" s="91">
        <v>-220</v>
      </c>
      <c r="AB24" s="34">
        <v>118</v>
      </c>
      <c r="AC24" s="105">
        <v>16</v>
      </c>
      <c r="AD24" s="218">
        <v>-110</v>
      </c>
      <c r="AE24" s="91">
        <v>33</v>
      </c>
      <c r="AF24" s="34">
        <v>-219</v>
      </c>
      <c r="AG24" s="105">
        <v>246</v>
      </c>
      <c r="AI24" s="137">
        <v>-129</v>
      </c>
      <c r="AJ24" s="137">
        <f>SUM(F24:I24)</f>
        <v>-460</v>
      </c>
      <c r="AK24" s="137">
        <f>SUM(J24:M24)</f>
        <v>319</v>
      </c>
      <c r="AL24" s="137">
        <f>N24+O24+P24+Q24</f>
        <v>248</v>
      </c>
      <c r="AM24" s="137">
        <f>SUM(R24:U24)</f>
        <v>633</v>
      </c>
      <c r="AN24" s="137">
        <v>-119</v>
      </c>
      <c r="AO24" s="137">
        <v>-188</v>
      </c>
      <c r="AP24" s="137">
        <f t="shared" si="5"/>
        <v>-50</v>
      </c>
      <c r="AT24" s="31"/>
    </row>
    <row r="25" spans="1:46" ht="6" customHeight="1" x14ac:dyDescent="0.35">
      <c r="A25" s="62"/>
      <c r="B25" s="218"/>
      <c r="C25" s="91"/>
      <c r="D25" s="34"/>
      <c r="E25" s="105"/>
      <c r="F25" s="218"/>
      <c r="G25" s="91"/>
      <c r="H25" s="34"/>
      <c r="I25" s="105"/>
      <c r="J25" s="218"/>
      <c r="K25" s="91"/>
      <c r="L25" s="34"/>
      <c r="M25" s="105"/>
      <c r="N25" s="218"/>
      <c r="O25" s="91"/>
      <c r="P25" s="34"/>
      <c r="Q25" s="105"/>
      <c r="R25" s="218"/>
      <c r="S25" s="91"/>
      <c r="T25" s="34"/>
      <c r="U25" s="105"/>
      <c r="V25" s="218"/>
      <c r="W25" s="91"/>
      <c r="X25" s="34"/>
      <c r="Y25" s="105"/>
      <c r="Z25" s="218"/>
      <c r="AA25" s="91"/>
      <c r="AB25" s="34"/>
      <c r="AC25" s="105"/>
      <c r="AD25" s="218"/>
      <c r="AE25" s="91"/>
      <c r="AF25" s="34"/>
      <c r="AG25" s="105"/>
      <c r="AI25" s="137"/>
      <c r="AJ25" s="137"/>
      <c r="AK25" s="137"/>
      <c r="AL25" s="137"/>
      <c r="AM25" s="137"/>
      <c r="AN25" s="137"/>
      <c r="AO25" s="137"/>
      <c r="AP25" s="137"/>
      <c r="AT25" s="31"/>
    </row>
    <row r="26" spans="1:46" ht="13.7" customHeight="1" x14ac:dyDescent="0.35">
      <c r="A26" s="62" t="s">
        <v>170</v>
      </c>
      <c r="B26" s="218">
        <v>5</v>
      </c>
      <c r="C26" s="91">
        <v>-5</v>
      </c>
      <c r="D26" s="34">
        <v>1</v>
      </c>
      <c r="E26" s="105">
        <v>13</v>
      </c>
      <c r="F26" s="218">
        <v>6</v>
      </c>
      <c r="G26" s="91">
        <v>1</v>
      </c>
      <c r="H26" s="34">
        <v>-1</v>
      </c>
      <c r="I26" s="105">
        <v>9</v>
      </c>
      <c r="J26" s="218">
        <v>-4</v>
      </c>
      <c r="K26" s="91">
        <v>5</v>
      </c>
      <c r="L26" s="34">
        <v>5</v>
      </c>
      <c r="M26" s="105">
        <v>10</v>
      </c>
      <c r="N26" s="218">
        <v>-1</v>
      </c>
      <c r="O26" s="91">
        <v>1</v>
      </c>
      <c r="P26" s="34">
        <v>-3</v>
      </c>
      <c r="Q26" s="105">
        <v>-2</v>
      </c>
      <c r="R26" s="237">
        <v>0</v>
      </c>
      <c r="S26" s="91">
        <v>-3</v>
      </c>
      <c r="T26" s="34">
        <v>1</v>
      </c>
      <c r="U26" s="105">
        <v>19</v>
      </c>
      <c r="V26" s="237">
        <v>5</v>
      </c>
      <c r="W26" s="91">
        <v>5</v>
      </c>
      <c r="X26" s="34">
        <v>5</v>
      </c>
      <c r="Y26" s="105">
        <v>7</v>
      </c>
      <c r="Z26" s="237">
        <v>3</v>
      </c>
      <c r="AA26" s="91">
        <v>5</v>
      </c>
      <c r="AB26" s="34">
        <v>7</v>
      </c>
      <c r="AC26" s="105">
        <v>-1</v>
      </c>
      <c r="AD26" s="237">
        <v>4</v>
      </c>
      <c r="AE26" s="91">
        <v>9</v>
      </c>
      <c r="AF26" s="34">
        <v>8</v>
      </c>
      <c r="AG26" s="105">
        <v>3</v>
      </c>
      <c r="AI26" s="137">
        <v>14</v>
      </c>
      <c r="AJ26" s="137">
        <f>SUM(F26:I26)</f>
        <v>15</v>
      </c>
      <c r="AK26" s="137">
        <f>SUM(J26:M26)</f>
        <v>16</v>
      </c>
      <c r="AL26" s="137">
        <f>N26+O26+P26+Q26</f>
        <v>-5</v>
      </c>
      <c r="AM26" s="137">
        <f>SUM(R26:U26)</f>
        <v>17</v>
      </c>
      <c r="AN26" s="137">
        <v>22</v>
      </c>
      <c r="AO26" s="137">
        <v>14</v>
      </c>
      <c r="AP26" s="137">
        <f t="shared" si="5"/>
        <v>24</v>
      </c>
      <c r="AT26" s="31"/>
    </row>
    <row r="27" spans="1:46" ht="13.7" customHeight="1" x14ac:dyDescent="0.35">
      <c r="A27" s="62" t="s">
        <v>171</v>
      </c>
      <c r="B27" s="218">
        <v>-3</v>
      </c>
      <c r="C27" s="91">
        <v>9</v>
      </c>
      <c r="D27" s="34">
        <v>6</v>
      </c>
      <c r="E27" s="105">
        <v>0</v>
      </c>
      <c r="F27" s="218">
        <v>5</v>
      </c>
      <c r="G27" s="91">
        <v>-2</v>
      </c>
      <c r="H27" s="34">
        <v>-4</v>
      </c>
      <c r="I27" s="105">
        <v>-1</v>
      </c>
      <c r="J27" s="218">
        <v>5</v>
      </c>
      <c r="K27" s="91">
        <v>-5</v>
      </c>
      <c r="L27" s="34">
        <v>-2</v>
      </c>
      <c r="M27" s="105">
        <v>-9</v>
      </c>
      <c r="N27" s="218">
        <v>3</v>
      </c>
      <c r="O27" s="91">
        <v>-4</v>
      </c>
      <c r="P27" s="34">
        <v>-6</v>
      </c>
      <c r="Q27" s="105">
        <v>-8</v>
      </c>
      <c r="R27" s="218">
        <v>2</v>
      </c>
      <c r="S27" s="91">
        <v>6</v>
      </c>
      <c r="T27" s="34">
        <v>8</v>
      </c>
      <c r="U27" s="105">
        <v>-9</v>
      </c>
      <c r="V27" s="218">
        <v>-7</v>
      </c>
      <c r="W27" s="91">
        <v>3</v>
      </c>
      <c r="X27" s="34">
        <v>10</v>
      </c>
      <c r="Y27" s="105">
        <v>-8</v>
      </c>
      <c r="Z27" s="218">
        <v>3</v>
      </c>
      <c r="AA27" s="91">
        <v>-4</v>
      </c>
      <c r="AB27" s="34">
        <v>4</v>
      </c>
      <c r="AC27" s="105">
        <v>-5</v>
      </c>
      <c r="AD27" s="218">
        <v>4</v>
      </c>
      <c r="AE27" s="91">
        <v>-3</v>
      </c>
      <c r="AF27" s="34">
        <v>2</v>
      </c>
      <c r="AG27" s="105">
        <v>-1</v>
      </c>
      <c r="AI27" s="137">
        <v>12</v>
      </c>
      <c r="AJ27" s="137">
        <f>SUM(F27:I27)</f>
        <v>-2</v>
      </c>
      <c r="AK27" s="137">
        <f>SUM(J27:M27)</f>
        <v>-11</v>
      </c>
      <c r="AL27" s="137">
        <f>N27+O27+P27+Q27</f>
        <v>-15</v>
      </c>
      <c r="AM27" s="137">
        <f>SUM(R27:U27)</f>
        <v>7</v>
      </c>
      <c r="AN27" s="137">
        <v>-2</v>
      </c>
      <c r="AO27" s="137">
        <v>-2</v>
      </c>
      <c r="AP27" s="137">
        <f t="shared" si="5"/>
        <v>2</v>
      </c>
      <c r="AT27" s="31"/>
    </row>
    <row r="28" spans="1:46" s="67" customFormat="1" ht="13.15" x14ac:dyDescent="0.4">
      <c r="A28" s="61" t="s">
        <v>172</v>
      </c>
      <c r="B28" s="220">
        <v>620</v>
      </c>
      <c r="C28" s="291">
        <v>403</v>
      </c>
      <c r="D28" s="66">
        <v>2615</v>
      </c>
      <c r="E28" s="316">
        <v>731</v>
      </c>
      <c r="F28" s="220">
        <v>296</v>
      </c>
      <c r="G28" s="291">
        <v>517</v>
      </c>
      <c r="H28" s="66">
        <v>746</v>
      </c>
      <c r="I28" s="316">
        <v>814</v>
      </c>
      <c r="J28" s="220">
        <v>512</v>
      </c>
      <c r="K28" s="291">
        <v>414</v>
      </c>
      <c r="L28" s="66">
        <v>527</v>
      </c>
      <c r="M28" s="316">
        <v>1029</v>
      </c>
      <c r="N28" s="220">
        <v>732</v>
      </c>
      <c r="O28" s="291">
        <v>636</v>
      </c>
      <c r="P28" s="66">
        <v>924</v>
      </c>
      <c r="Q28" s="316">
        <v>785</v>
      </c>
      <c r="R28" s="220">
        <v>856</v>
      </c>
      <c r="S28" s="291">
        <v>819</v>
      </c>
      <c r="T28" s="66">
        <v>1144</v>
      </c>
      <c r="U28" s="316">
        <v>1076</v>
      </c>
      <c r="V28" s="220">
        <v>632</v>
      </c>
      <c r="W28" s="291">
        <v>756</v>
      </c>
      <c r="X28" s="66">
        <v>988</v>
      </c>
      <c r="Y28" s="446">
        <v>1137</v>
      </c>
      <c r="Z28" s="220">
        <v>851</v>
      </c>
      <c r="AA28" s="291">
        <v>761</v>
      </c>
      <c r="AB28" s="66">
        <v>779</v>
      </c>
      <c r="AC28" s="446">
        <v>391</v>
      </c>
      <c r="AD28" s="220">
        <v>565</v>
      </c>
      <c r="AE28" s="291">
        <v>779</v>
      </c>
      <c r="AF28" s="66">
        <v>585</v>
      </c>
      <c r="AG28" s="446">
        <v>891</v>
      </c>
      <c r="AI28" s="283">
        <v>4369</v>
      </c>
      <c r="AJ28" s="283">
        <f>SUM(F28:I28)</f>
        <v>2373</v>
      </c>
      <c r="AK28" s="283">
        <f>SUM(J28:M28)</f>
        <v>2482</v>
      </c>
      <c r="AL28" s="283">
        <f>N28+O28+P28+Q28</f>
        <v>3077</v>
      </c>
      <c r="AM28" s="283">
        <f>SUM(R28:U28)</f>
        <v>3895</v>
      </c>
      <c r="AN28" s="283">
        <v>3513</v>
      </c>
      <c r="AO28" s="283">
        <v>2782</v>
      </c>
      <c r="AP28" s="283">
        <f t="shared" si="5"/>
        <v>2820</v>
      </c>
      <c r="AT28" s="31"/>
    </row>
    <row r="29" spans="1:46" ht="6" customHeight="1" x14ac:dyDescent="0.35">
      <c r="A29" s="63"/>
      <c r="B29" s="218"/>
      <c r="C29" s="91"/>
      <c r="D29" s="34"/>
      <c r="E29" s="105"/>
      <c r="F29" s="218"/>
      <c r="G29" s="91"/>
      <c r="H29" s="34"/>
      <c r="I29" s="105"/>
      <c r="J29" s="218"/>
      <c r="K29" s="91"/>
      <c r="L29" s="34"/>
      <c r="M29" s="105"/>
      <c r="N29" s="218"/>
      <c r="O29" s="91"/>
      <c r="P29" s="34"/>
      <c r="Q29" s="105"/>
      <c r="R29" s="218"/>
      <c r="S29" s="91"/>
      <c r="T29" s="34"/>
      <c r="U29" s="105"/>
      <c r="V29" s="218"/>
      <c r="W29" s="91"/>
      <c r="X29" s="34"/>
      <c r="Y29" s="105"/>
      <c r="Z29" s="218"/>
      <c r="AA29" s="91"/>
      <c r="AB29" s="34"/>
      <c r="AC29" s="105"/>
      <c r="AD29" s="218"/>
      <c r="AE29" s="91"/>
      <c r="AF29" s="34"/>
      <c r="AG29" s="105"/>
      <c r="AI29" s="137"/>
      <c r="AJ29" s="137"/>
      <c r="AK29" s="137"/>
      <c r="AL29" s="137"/>
      <c r="AM29" s="137"/>
      <c r="AN29" s="137"/>
      <c r="AO29" s="137"/>
      <c r="AP29" s="137"/>
      <c r="AT29" s="31"/>
    </row>
    <row r="30" spans="1:46" ht="13.7" customHeight="1" x14ac:dyDescent="0.35">
      <c r="A30" s="26" t="s">
        <v>173</v>
      </c>
      <c r="B30" s="218"/>
      <c r="C30" s="91"/>
      <c r="D30" s="34"/>
      <c r="E30" s="105"/>
      <c r="F30" s="218"/>
      <c r="G30" s="91"/>
      <c r="H30" s="34"/>
      <c r="I30" s="105"/>
      <c r="J30" s="218"/>
      <c r="K30" s="91"/>
      <c r="L30" s="34"/>
      <c r="M30" s="105"/>
      <c r="N30" s="218"/>
      <c r="O30" s="91"/>
      <c r="P30" s="34"/>
      <c r="Q30" s="105"/>
      <c r="R30" s="218"/>
      <c r="S30" s="91"/>
      <c r="T30" s="34"/>
      <c r="U30" s="105"/>
      <c r="V30" s="218"/>
      <c r="W30" s="91"/>
      <c r="X30" s="34"/>
      <c r="Y30" s="105"/>
      <c r="Z30" s="218"/>
      <c r="AA30" s="91"/>
      <c r="AB30" s="34"/>
      <c r="AC30" s="105"/>
      <c r="AD30" s="218"/>
      <c r="AE30" s="91"/>
      <c r="AF30" s="34"/>
      <c r="AG30" s="105"/>
      <c r="AI30" s="137"/>
      <c r="AJ30" s="137"/>
      <c r="AK30" s="137"/>
      <c r="AL30" s="137"/>
      <c r="AM30" s="137"/>
      <c r="AN30" s="137"/>
      <c r="AO30" s="137"/>
      <c r="AP30" s="137"/>
      <c r="AT30" s="31"/>
    </row>
    <row r="31" spans="1:46" ht="13.7" customHeight="1" x14ac:dyDescent="0.35">
      <c r="A31" s="13" t="s">
        <v>174</v>
      </c>
      <c r="B31" s="218">
        <v>-18</v>
      </c>
      <c r="C31" s="91">
        <v>-10</v>
      </c>
      <c r="D31" s="34">
        <v>-18</v>
      </c>
      <c r="E31" s="105">
        <v>-4</v>
      </c>
      <c r="F31" s="218">
        <v>-28</v>
      </c>
      <c r="G31" s="91">
        <v>-23</v>
      </c>
      <c r="H31" s="34">
        <v>-21</v>
      </c>
      <c r="I31" s="105">
        <v>-30</v>
      </c>
      <c r="J31" s="218">
        <v>-45</v>
      </c>
      <c r="K31" s="91">
        <v>-28</v>
      </c>
      <c r="L31" s="34">
        <v>-22</v>
      </c>
      <c r="M31" s="105">
        <v>-35</v>
      </c>
      <c r="N31" s="218">
        <v>-37</v>
      </c>
      <c r="O31" s="91">
        <v>-35</v>
      </c>
      <c r="P31" s="34">
        <v>-27</v>
      </c>
      <c r="Q31" s="105">
        <v>-33</v>
      </c>
      <c r="R31" s="218">
        <v>-43</v>
      </c>
      <c r="S31" s="91">
        <v>-29</v>
      </c>
      <c r="T31" s="34">
        <v>-50</v>
      </c>
      <c r="U31" s="105">
        <v>-37</v>
      </c>
      <c r="V31" s="218">
        <v>-42</v>
      </c>
      <c r="W31" s="91">
        <v>-51</v>
      </c>
      <c r="X31" s="34">
        <v>-42</v>
      </c>
      <c r="Y31" s="105">
        <v>-44</v>
      </c>
      <c r="Z31" s="218">
        <v>-32</v>
      </c>
      <c r="AA31" s="91">
        <v>-55</v>
      </c>
      <c r="AB31" s="34">
        <v>-26</v>
      </c>
      <c r="AC31" s="105">
        <v>-36</v>
      </c>
      <c r="AD31" s="218">
        <v>-25</v>
      </c>
      <c r="AE31" s="91">
        <v>-37</v>
      </c>
      <c r="AF31" s="34">
        <v>-23</v>
      </c>
      <c r="AG31" s="105">
        <v>-55</v>
      </c>
      <c r="AI31" s="137">
        <v>-50</v>
      </c>
      <c r="AJ31" s="137">
        <f>SUM(F31:I31)</f>
        <v>-102</v>
      </c>
      <c r="AK31" s="137">
        <f>SUM(J31:M31)</f>
        <v>-130</v>
      </c>
      <c r="AL31" s="137">
        <f t="shared" ref="AL31:AL46" si="6">N31+O31+P31+Q31</f>
        <v>-132</v>
      </c>
      <c r="AM31" s="137">
        <f t="shared" ref="AM31:AM46" si="7">SUM(R31:U31)</f>
        <v>-159</v>
      </c>
      <c r="AN31" s="137">
        <v>-179</v>
      </c>
      <c r="AO31" s="137">
        <v>-149</v>
      </c>
      <c r="AP31" s="137">
        <f t="shared" ref="AP31:AP46" si="8">SUM(AD31:AG31)</f>
        <v>-140</v>
      </c>
      <c r="AT31" s="31"/>
    </row>
    <row r="32" spans="1:46" x14ac:dyDescent="0.35">
      <c r="A32" s="13" t="s">
        <v>175</v>
      </c>
      <c r="B32" s="221">
        <v>-156</v>
      </c>
      <c r="C32" s="208">
        <v>-129</v>
      </c>
      <c r="D32" s="52">
        <v>-156</v>
      </c>
      <c r="E32" s="213">
        <v>-170</v>
      </c>
      <c r="F32" s="221">
        <v>-144</v>
      </c>
      <c r="G32" s="208">
        <v>-106</v>
      </c>
      <c r="H32" s="52">
        <v>-138</v>
      </c>
      <c r="I32" s="213">
        <v>-138</v>
      </c>
      <c r="J32" s="221">
        <v>-143</v>
      </c>
      <c r="K32" s="208">
        <v>-75</v>
      </c>
      <c r="L32" s="52">
        <v>-70</v>
      </c>
      <c r="M32" s="213">
        <v>-104</v>
      </c>
      <c r="N32" s="221">
        <v>-150</v>
      </c>
      <c r="O32" s="208">
        <v>-150</v>
      </c>
      <c r="P32" s="52">
        <v>-201</v>
      </c>
      <c r="Q32" s="213">
        <v>-266</v>
      </c>
      <c r="R32" s="221">
        <v>-280</v>
      </c>
      <c r="S32" s="208">
        <v>-268</v>
      </c>
      <c r="T32" s="52">
        <v>-282</v>
      </c>
      <c r="U32" s="213">
        <v>-233</v>
      </c>
      <c r="V32" s="221">
        <v>-251</v>
      </c>
      <c r="W32" s="208">
        <v>-201</v>
      </c>
      <c r="X32" s="52">
        <v>-200</v>
      </c>
      <c r="Y32" s="213">
        <v>-175</v>
      </c>
      <c r="Z32" s="221">
        <v>-226</v>
      </c>
      <c r="AA32" s="208">
        <v>-185</v>
      </c>
      <c r="AB32" s="52">
        <v>-186</v>
      </c>
      <c r="AC32" s="213">
        <v>-130</v>
      </c>
      <c r="AD32" s="221">
        <v>-139</v>
      </c>
      <c r="AE32" s="208">
        <v>-83</v>
      </c>
      <c r="AF32" s="52">
        <v>-77</v>
      </c>
      <c r="AG32" s="213">
        <v>-98</v>
      </c>
      <c r="AI32" s="137">
        <v>-611</v>
      </c>
      <c r="AJ32" s="137">
        <f>SUM(F32:I32)</f>
        <v>-526</v>
      </c>
      <c r="AK32" s="137">
        <f>SUM(J32:M32)</f>
        <v>-392</v>
      </c>
      <c r="AL32" s="137">
        <f t="shared" si="6"/>
        <v>-767</v>
      </c>
      <c r="AM32" s="137">
        <f t="shared" si="7"/>
        <v>-1063</v>
      </c>
      <c r="AN32" s="137">
        <v>-827</v>
      </c>
      <c r="AO32" s="137">
        <v>-727</v>
      </c>
      <c r="AP32" s="137">
        <f t="shared" si="8"/>
        <v>-397</v>
      </c>
      <c r="AT32" s="31"/>
    </row>
    <row r="33" spans="1:46" x14ac:dyDescent="0.35">
      <c r="A33" s="13" t="s">
        <v>176</v>
      </c>
      <c r="B33" s="221"/>
      <c r="C33" s="208"/>
      <c r="D33" s="52"/>
      <c r="E33" s="213"/>
      <c r="F33" s="221"/>
      <c r="G33" s="208"/>
      <c r="H33" s="52"/>
      <c r="I33" s="213"/>
      <c r="J33" s="221"/>
      <c r="K33" s="208"/>
      <c r="L33" s="52"/>
      <c r="M33" s="213"/>
      <c r="N33" s="221"/>
      <c r="O33" s="208"/>
      <c r="P33" s="52">
        <v>-14</v>
      </c>
      <c r="Q33" s="213">
        <v>-19</v>
      </c>
      <c r="R33" s="221">
        <v>-5</v>
      </c>
      <c r="S33" s="295">
        <v>0</v>
      </c>
      <c r="T33" s="295">
        <v>0</v>
      </c>
      <c r="U33" s="213">
        <v>0</v>
      </c>
      <c r="V33" s="237">
        <v>0</v>
      </c>
      <c r="W33" s="295">
        <v>0</v>
      </c>
      <c r="X33" s="295">
        <v>0</v>
      </c>
      <c r="Y33" s="213">
        <v>0</v>
      </c>
      <c r="Z33" s="237">
        <v>0</v>
      </c>
      <c r="AA33" s="295">
        <v>0</v>
      </c>
      <c r="AB33" s="295">
        <v>0</v>
      </c>
      <c r="AC33" s="213">
        <v>0</v>
      </c>
      <c r="AD33" s="237">
        <v>0</v>
      </c>
      <c r="AE33" s="295">
        <v>0</v>
      </c>
      <c r="AF33" s="295">
        <v>0</v>
      </c>
      <c r="AG33" s="213"/>
      <c r="AI33" s="137"/>
      <c r="AJ33" s="137"/>
      <c r="AK33" s="137"/>
      <c r="AL33" s="137">
        <f t="shared" si="6"/>
        <v>-33</v>
      </c>
      <c r="AM33" s="137">
        <f t="shared" si="7"/>
        <v>-5</v>
      </c>
      <c r="AN33" s="137">
        <v>0</v>
      </c>
      <c r="AO33" s="137">
        <v>0</v>
      </c>
      <c r="AP33" s="137">
        <f t="shared" si="8"/>
        <v>0</v>
      </c>
      <c r="AT33" s="31"/>
    </row>
    <row r="34" spans="1:46" x14ac:dyDescent="0.35">
      <c r="A34" s="13" t="s">
        <v>177</v>
      </c>
      <c r="B34" s="221"/>
      <c r="C34" s="208"/>
      <c r="D34" s="52"/>
      <c r="E34" s="213"/>
      <c r="F34" s="221"/>
      <c r="G34" s="208"/>
      <c r="H34" s="52"/>
      <c r="I34" s="213"/>
      <c r="J34" s="221"/>
      <c r="K34" s="208"/>
      <c r="L34" s="52"/>
      <c r="M34" s="213"/>
      <c r="N34" s="221"/>
      <c r="O34" s="208"/>
      <c r="P34" s="52">
        <v>7</v>
      </c>
      <c r="Q34" s="213">
        <v>3</v>
      </c>
      <c r="R34" s="237">
        <v>0</v>
      </c>
      <c r="S34" s="295">
        <v>0</v>
      </c>
      <c r="T34" s="295">
        <v>0</v>
      </c>
      <c r="U34" s="213">
        <v>0</v>
      </c>
      <c r="V34" s="237">
        <v>0</v>
      </c>
      <c r="W34" s="295">
        <v>0</v>
      </c>
      <c r="X34" s="295">
        <v>0</v>
      </c>
      <c r="Y34" s="213">
        <v>0</v>
      </c>
      <c r="Z34" s="237">
        <v>2</v>
      </c>
      <c r="AA34" s="295">
        <v>0</v>
      </c>
      <c r="AB34" s="295">
        <v>0</v>
      </c>
      <c r="AC34" s="213">
        <v>0</v>
      </c>
      <c r="AD34" s="237">
        <v>0</v>
      </c>
      <c r="AE34" s="295">
        <v>0</v>
      </c>
      <c r="AF34" s="295">
        <v>0</v>
      </c>
      <c r="AG34" s="213"/>
      <c r="AI34" s="137"/>
      <c r="AJ34" s="137"/>
      <c r="AK34" s="137"/>
      <c r="AL34" s="137">
        <f t="shared" si="6"/>
        <v>10</v>
      </c>
      <c r="AM34" s="137">
        <f t="shared" si="7"/>
        <v>0</v>
      </c>
      <c r="AN34" s="137">
        <v>0</v>
      </c>
      <c r="AO34" s="137">
        <v>2</v>
      </c>
      <c r="AP34" s="137">
        <f t="shared" si="8"/>
        <v>0</v>
      </c>
      <c r="AT34" s="31"/>
    </row>
    <row r="35" spans="1:46" x14ac:dyDescent="0.35">
      <c r="A35" s="13" t="s">
        <v>178</v>
      </c>
      <c r="B35" s="237">
        <v>0</v>
      </c>
      <c r="C35" s="208" t="s">
        <v>91</v>
      </c>
      <c r="D35" s="52">
        <v>1</v>
      </c>
      <c r="E35" s="213">
        <v>0</v>
      </c>
      <c r="F35" s="237">
        <v>0</v>
      </c>
      <c r="G35" s="295">
        <v>0</v>
      </c>
      <c r="H35" s="52">
        <v>23</v>
      </c>
      <c r="I35" s="213">
        <v>0</v>
      </c>
      <c r="J35" s="237">
        <v>0</v>
      </c>
      <c r="K35" s="295">
        <v>1</v>
      </c>
      <c r="L35" s="52">
        <v>2</v>
      </c>
      <c r="M35" s="213">
        <v>1</v>
      </c>
      <c r="N35" s="237">
        <v>0</v>
      </c>
      <c r="O35" s="295">
        <v>0</v>
      </c>
      <c r="P35" s="52">
        <v>1</v>
      </c>
      <c r="Q35" s="213">
        <v>0</v>
      </c>
      <c r="R35" s="237">
        <v>1</v>
      </c>
      <c r="S35" s="295">
        <v>0</v>
      </c>
      <c r="T35" s="52">
        <v>1</v>
      </c>
      <c r="U35" s="213">
        <v>0</v>
      </c>
      <c r="V35" s="237">
        <v>0</v>
      </c>
      <c r="W35" s="295">
        <v>1</v>
      </c>
      <c r="X35" s="30">
        <v>0</v>
      </c>
      <c r="Y35" s="213">
        <v>0</v>
      </c>
      <c r="Z35" s="237">
        <v>2</v>
      </c>
      <c r="AA35" s="295">
        <v>1</v>
      </c>
      <c r="AB35" s="30">
        <v>0</v>
      </c>
      <c r="AC35" s="213">
        <v>1</v>
      </c>
      <c r="AD35" s="237">
        <v>1</v>
      </c>
      <c r="AE35" s="295">
        <v>0</v>
      </c>
      <c r="AF35" s="30">
        <v>1</v>
      </c>
      <c r="AG35" s="213">
        <v>0</v>
      </c>
      <c r="AI35" s="137">
        <v>1</v>
      </c>
      <c r="AJ35" s="137">
        <f t="shared" ref="AJ35:AJ46" si="9">SUM(F35:I35)</f>
        <v>23</v>
      </c>
      <c r="AK35" s="137">
        <f t="shared" ref="AK35:AK46" si="10">SUM(J35:M35)</f>
        <v>4</v>
      </c>
      <c r="AL35" s="137">
        <f t="shared" si="6"/>
        <v>1</v>
      </c>
      <c r="AM35" s="137">
        <f t="shared" si="7"/>
        <v>2</v>
      </c>
      <c r="AN35" s="137">
        <v>1</v>
      </c>
      <c r="AO35" s="137">
        <v>4</v>
      </c>
      <c r="AP35" s="137">
        <f t="shared" si="8"/>
        <v>2</v>
      </c>
      <c r="AT35" s="31"/>
    </row>
    <row r="36" spans="1:46" hidden="1" x14ac:dyDescent="0.35">
      <c r="A36" s="13" t="s">
        <v>179</v>
      </c>
      <c r="B36" s="237">
        <v>0</v>
      </c>
      <c r="C36" s="208" t="s">
        <v>91</v>
      </c>
      <c r="D36" s="30">
        <v>0</v>
      </c>
      <c r="E36" s="213">
        <v>0</v>
      </c>
      <c r="F36" s="237">
        <v>0</v>
      </c>
      <c r="G36" s="295">
        <v>0</v>
      </c>
      <c r="H36" s="30">
        <v>0</v>
      </c>
      <c r="I36" s="213">
        <v>0</v>
      </c>
      <c r="J36" s="237">
        <v>0</v>
      </c>
      <c r="K36" s="295">
        <v>0</v>
      </c>
      <c r="L36" s="30">
        <v>0</v>
      </c>
      <c r="M36" s="213">
        <v>0</v>
      </c>
      <c r="N36" s="237">
        <v>0</v>
      </c>
      <c r="O36" s="295">
        <v>0</v>
      </c>
      <c r="P36" s="30">
        <v>0</v>
      </c>
      <c r="Q36" s="213">
        <v>0</v>
      </c>
      <c r="R36" s="237">
        <v>0</v>
      </c>
      <c r="S36" s="295">
        <v>0</v>
      </c>
      <c r="T36" s="30">
        <v>0</v>
      </c>
      <c r="U36" s="213">
        <v>0</v>
      </c>
      <c r="V36" s="237">
        <v>0</v>
      </c>
      <c r="W36" s="295"/>
      <c r="X36" s="30"/>
      <c r="Y36" s="213"/>
      <c r="Z36" s="237"/>
      <c r="AA36" s="295"/>
      <c r="AB36" s="30"/>
      <c r="AC36" s="213"/>
      <c r="AD36" s="237"/>
      <c r="AE36" s="295"/>
      <c r="AF36" s="30"/>
      <c r="AG36" s="213"/>
      <c r="AI36" s="174" t="s">
        <v>91</v>
      </c>
      <c r="AJ36" s="174">
        <f t="shared" si="9"/>
        <v>0</v>
      </c>
      <c r="AK36" s="174">
        <f t="shared" si="10"/>
        <v>0</v>
      </c>
      <c r="AL36" s="174">
        <f t="shared" si="6"/>
        <v>0</v>
      </c>
      <c r="AM36" s="174">
        <f t="shared" si="7"/>
        <v>0</v>
      </c>
      <c r="AN36" s="174">
        <v>0</v>
      </c>
      <c r="AO36" s="174">
        <v>0</v>
      </c>
      <c r="AP36" s="174">
        <f t="shared" si="8"/>
        <v>0</v>
      </c>
      <c r="AT36" s="31"/>
    </row>
    <row r="37" spans="1:46" x14ac:dyDescent="0.35">
      <c r="A37" s="13" t="s">
        <v>180</v>
      </c>
      <c r="B37" s="237"/>
      <c r="C37" s="208"/>
      <c r="D37" s="30"/>
      <c r="E37" s="213"/>
      <c r="F37" s="237"/>
      <c r="G37" s="295"/>
      <c r="H37" s="30"/>
      <c r="I37" s="213"/>
      <c r="J37" s="237"/>
      <c r="K37" s="295"/>
      <c r="L37" s="30"/>
      <c r="M37" s="213"/>
      <c r="N37" s="237"/>
      <c r="O37" s="295"/>
      <c r="P37" s="30"/>
      <c r="Q37" s="213"/>
      <c r="R37" s="237"/>
      <c r="S37" s="295"/>
      <c r="T37" s="30"/>
      <c r="U37" s="213"/>
      <c r="V37" s="237"/>
      <c r="W37" s="295"/>
      <c r="X37" s="30"/>
      <c r="Y37" s="213"/>
      <c r="Z37" s="237"/>
      <c r="AA37" s="295"/>
      <c r="AB37" s="30"/>
      <c r="AC37" s="213">
        <v>30</v>
      </c>
      <c r="AD37" s="237">
        <v>0</v>
      </c>
      <c r="AE37" s="295">
        <v>0</v>
      </c>
      <c r="AF37" s="30"/>
      <c r="AG37" s="213"/>
      <c r="AI37" s="174"/>
      <c r="AJ37" s="174"/>
      <c r="AK37" s="174"/>
      <c r="AL37" s="174"/>
      <c r="AM37" s="174"/>
      <c r="AN37" s="174"/>
      <c r="AO37" s="137">
        <v>30</v>
      </c>
      <c r="AP37" s="137">
        <f t="shared" si="8"/>
        <v>0</v>
      </c>
      <c r="AT37" s="31"/>
    </row>
    <row r="38" spans="1:46" ht="13.7" customHeight="1" x14ac:dyDescent="0.35">
      <c r="A38" s="13" t="s">
        <v>181</v>
      </c>
      <c r="B38" s="218" t="s">
        <v>91</v>
      </c>
      <c r="C38" s="91">
        <v>-18</v>
      </c>
      <c r="D38" s="30">
        <v>0</v>
      </c>
      <c r="E38" s="105">
        <v>0</v>
      </c>
      <c r="F38" s="237">
        <v>0</v>
      </c>
      <c r="G38" s="295">
        <v>0</v>
      </c>
      <c r="H38" s="30">
        <v>0</v>
      </c>
      <c r="I38" s="105">
        <v>-1698</v>
      </c>
      <c r="J38" s="237">
        <v>-10</v>
      </c>
      <c r="K38" s="295">
        <v>-11</v>
      </c>
      <c r="L38" s="30">
        <v>0</v>
      </c>
      <c r="M38" s="105">
        <v>-13</v>
      </c>
      <c r="N38" s="237">
        <v>0</v>
      </c>
      <c r="O38" s="295">
        <v>-1</v>
      </c>
      <c r="P38" s="30">
        <v>-16</v>
      </c>
      <c r="Q38" s="105">
        <v>-6</v>
      </c>
      <c r="R38" s="237">
        <v>-4</v>
      </c>
      <c r="S38" s="295">
        <v>-1</v>
      </c>
      <c r="T38" s="30">
        <v>-22</v>
      </c>
      <c r="U38" s="105">
        <v>0</v>
      </c>
      <c r="V38" s="237">
        <v>0</v>
      </c>
      <c r="W38" s="295">
        <v>0</v>
      </c>
      <c r="X38" s="30">
        <v>0</v>
      </c>
      <c r="Y38" s="105">
        <v>0</v>
      </c>
      <c r="Z38" s="237">
        <v>0</v>
      </c>
      <c r="AA38" s="295">
        <v>0</v>
      </c>
      <c r="AB38" s="30">
        <v>0</v>
      </c>
      <c r="AC38" s="105">
        <v>0</v>
      </c>
      <c r="AD38" s="237">
        <v>0</v>
      </c>
      <c r="AE38" s="295">
        <v>-679</v>
      </c>
      <c r="AF38" s="30">
        <v>-11</v>
      </c>
      <c r="AG38" s="105">
        <v>-485</v>
      </c>
      <c r="AI38" s="174">
        <v>-18</v>
      </c>
      <c r="AJ38" s="174">
        <f t="shared" si="9"/>
        <v>-1698</v>
      </c>
      <c r="AK38" s="174">
        <f t="shared" si="10"/>
        <v>-34</v>
      </c>
      <c r="AL38" s="174">
        <f t="shared" si="6"/>
        <v>-23</v>
      </c>
      <c r="AM38" s="174">
        <f t="shared" si="7"/>
        <v>-27</v>
      </c>
      <c r="AN38" s="174">
        <v>0</v>
      </c>
      <c r="AO38" s="174">
        <v>0</v>
      </c>
      <c r="AP38" s="174">
        <f t="shared" si="8"/>
        <v>-1175</v>
      </c>
      <c r="AT38" s="31"/>
    </row>
    <row r="39" spans="1:46" x14ac:dyDescent="0.35">
      <c r="A39" s="13" t="s">
        <v>182</v>
      </c>
      <c r="B39" s="237">
        <v>0</v>
      </c>
      <c r="C39" s="208">
        <v>32</v>
      </c>
      <c r="D39" s="208">
        <v>127</v>
      </c>
      <c r="E39" s="213">
        <v>0</v>
      </c>
      <c r="F39" s="237">
        <v>37</v>
      </c>
      <c r="G39" s="295">
        <v>0</v>
      </c>
      <c r="H39" s="30">
        <v>0</v>
      </c>
      <c r="I39" s="213">
        <v>0</v>
      </c>
      <c r="J39" s="237">
        <v>161</v>
      </c>
      <c r="K39" s="295">
        <v>0</v>
      </c>
      <c r="L39" s="30">
        <v>0</v>
      </c>
      <c r="M39" s="213">
        <v>0</v>
      </c>
      <c r="N39" s="237">
        <v>0</v>
      </c>
      <c r="O39" s="295">
        <v>0</v>
      </c>
      <c r="P39" s="30">
        <v>0</v>
      </c>
      <c r="Q39" s="213">
        <v>0</v>
      </c>
      <c r="R39" s="237">
        <v>0</v>
      </c>
      <c r="S39" s="295">
        <v>0</v>
      </c>
      <c r="T39" s="30">
        <v>0</v>
      </c>
      <c r="U39" s="213">
        <v>0</v>
      </c>
      <c r="V39" s="237">
        <v>0</v>
      </c>
      <c r="W39" s="295">
        <v>0</v>
      </c>
      <c r="X39" s="30">
        <v>0</v>
      </c>
      <c r="Y39" s="213">
        <v>0</v>
      </c>
      <c r="Z39" s="237">
        <v>0</v>
      </c>
      <c r="AA39" s="295">
        <v>0</v>
      </c>
      <c r="AB39" s="30">
        <v>0</v>
      </c>
      <c r="AC39" s="213">
        <v>0</v>
      </c>
      <c r="AD39" s="237">
        <v>0</v>
      </c>
      <c r="AE39" s="295">
        <v>0</v>
      </c>
      <c r="AF39" s="30">
        <v>0</v>
      </c>
      <c r="AG39" s="213"/>
      <c r="AI39" s="174">
        <v>159</v>
      </c>
      <c r="AJ39" s="174">
        <f t="shared" si="9"/>
        <v>37</v>
      </c>
      <c r="AK39" s="174">
        <f t="shared" si="10"/>
        <v>161</v>
      </c>
      <c r="AL39" s="174">
        <f t="shared" si="6"/>
        <v>0</v>
      </c>
      <c r="AM39" s="174">
        <f t="shared" si="7"/>
        <v>0</v>
      </c>
      <c r="AN39" s="174">
        <v>0</v>
      </c>
      <c r="AO39" s="174">
        <v>0</v>
      </c>
      <c r="AP39" s="174">
        <f t="shared" si="8"/>
        <v>0</v>
      </c>
      <c r="AT39" s="31"/>
    </row>
    <row r="40" spans="1:46" x14ac:dyDescent="0.35">
      <c r="A40" s="13" t="s">
        <v>183</v>
      </c>
      <c r="B40" s="218" t="s">
        <v>91</v>
      </c>
      <c r="C40" s="91" t="s">
        <v>91</v>
      </c>
      <c r="D40" s="30">
        <v>4</v>
      </c>
      <c r="E40" s="105">
        <v>0</v>
      </c>
      <c r="F40" s="237">
        <v>0</v>
      </c>
      <c r="G40" s="295">
        <v>0</v>
      </c>
      <c r="H40" s="30">
        <v>0</v>
      </c>
      <c r="I40" s="105">
        <v>0</v>
      </c>
      <c r="J40" s="237">
        <v>0</v>
      </c>
      <c r="K40" s="295">
        <v>0</v>
      </c>
      <c r="L40" s="30">
        <v>0</v>
      </c>
      <c r="M40" s="105">
        <v>1</v>
      </c>
      <c r="N40" s="237">
        <v>0</v>
      </c>
      <c r="O40" s="295">
        <v>1</v>
      </c>
      <c r="P40" s="30">
        <v>2</v>
      </c>
      <c r="Q40" s="105">
        <v>7</v>
      </c>
      <c r="R40" s="237">
        <v>2</v>
      </c>
      <c r="S40" s="295">
        <v>0</v>
      </c>
      <c r="T40" s="30">
        <v>0</v>
      </c>
      <c r="U40" s="105">
        <v>8</v>
      </c>
      <c r="V40" s="237">
        <v>0</v>
      </c>
      <c r="W40" s="295">
        <v>0</v>
      </c>
      <c r="X40" s="30">
        <v>0</v>
      </c>
      <c r="Y40" s="105">
        <v>0</v>
      </c>
      <c r="Z40" s="237">
        <v>0</v>
      </c>
      <c r="AA40" s="295">
        <v>0</v>
      </c>
      <c r="AB40" s="30">
        <v>0</v>
      </c>
      <c r="AC40" s="105">
        <v>0</v>
      </c>
      <c r="AD40" s="237">
        <v>0</v>
      </c>
      <c r="AE40" s="295">
        <v>0</v>
      </c>
      <c r="AF40" s="30">
        <v>0</v>
      </c>
      <c r="AG40" s="105"/>
      <c r="AI40" s="174">
        <v>4</v>
      </c>
      <c r="AJ40" s="174">
        <f t="shared" si="9"/>
        <v>0</v>
      </c>
      <c r="AK40" s="174">
        <f t="shared" si="10"/>
        <v>1</v>
      </c>
      <c r="AL40" s="174">
        <f t="shared" si="6"/>
        <v>10</v>
      </c>
      <c r="AM40" s="174">
        <f t="shared" si="7"/>
        <v>10</v>
      </c>
      <c r="AN40" s="174">
        <v>0</v>
      </c>
      <c r="AO40" s="174">
        <v>0</v>
      </c>
      <c r="AP40" s="174">
        <f t="shared" si="8"/>
        <v>0</v>
      </c>
      <c r="AT40" s="31"/>
    </row>
    <row r="41" spans="1:46" x14ac:dyDescent="0.35">
      <c r="A41" s="13" t="s">
        <v>184</v>
      </c>
      <c r="B41" s="218"/>
      <c r="C41" s="91"/>
      <c r="D41" s="30"/>
      <c r="E41" s="105"/>
      <c r="F41" s="237"/>
      <c r="G41" s="268"/>
      <c r="H41" s="30"/>
      <c r="I41" s="105"/>
      <c r="J41" s="237"/>
      <c r="K41" s="295"/>
      <c r="L41" s="30"/>
      <c r="M41" s="105"/>
      <c r="N41" s="237"/>
      <c r="O41" s="295"/>
      <c r="P41" s="30"/>
      <c r="Q41" s="105"/>
      <c r="R41" s="237"/>
      <c r="S41" s="295"/>
      <c r="T41" s="30"/>
      <c r="U41" s="105"/>
      <c r="V41" s="237"/>
      <c r="W41" s="295"/>
      <c r="X41" s="30"/>
      <c r="Y41" s="105">
        <v>-409</v>
      </c>
      <c r="Z41" s="237">
        <v>0</v>
      </c>
      <c r="AA41" s="295">
        <v>0</v>
      </c>
      <c r="AB41" s="30">
        <v>0</v>
      </c>
      <c r="AC41" s="105">
        <v>0</v>
      </c>
      <c r="AD41" s="237">
        <v>0</v>
      </c>
      <c r="AE41" s="295">
        <v>0</v>
      </c>
      <c r="AF41" s="30">
        <v>-500</v>
      </c>
      <c r="AG41" s="105">
        <v>0</v>
      </c>
      <c r="AI41" s="174"/>
      <c r="AJ41" s="174"/>
      <c r="AK41" s="174"/>
      <c r="AL41" s="174"/>
      <c r="AM41" s="174"/>
      <c r="AN41" s="174">
        <v>-409</v>
      </c>
      <c r="AO41" s="174">
        <v>0</v>
      </c>
      <c r="AP41" s="174">
        <f t="shared" si="8"/>
        <v>-500</v>
      </c>
      <c r="AT41" s="31"/>
    </row>
    <row r="42" spans="1:46" x14ac:dyDescent="0.35">
      <c r="A42" s="13" t="s">
        <v>185</v>
      </c>
      <c r="B42" s="218"/>
      <c r="C42" s="91"/>
      <c r="D42" s="30"/>
      <c r="E42" s="105"/>
      <c r="F42" s="237"/>
      <c r="G42" s="268"/>
      <c r="H42" s="30"/>
      <c r="I42" s="105"/>
      <c r="J42" s="237"/>
      <c r="K42" s="295"/>
      <c r="L42" s="30"/>
      <c r="M42" s="105"/>
      <c r="N42" s="237"/>
      <c r="O42" s="295"/>
      <c r="P42" s="30"/>
      <c r="Q42" s="105"/>
      <c r="R42" s="237"/>
      <c r="S42" s="295"/>
      <c r="T42" s="30"/>
      <c r="U42" s="105"/>
      <c r="V42" s="237"/>
      <c r="W42" s="295"/>
      <c r="X42" s="30"/>
      <c r="Y42" s="105"/>
      <c r="Z42" s="237">
        <v>9</v>
      </c>
      <c r="AA42" s="295">
        <v>0</v>
      </c>
      <c r="AB42" s="30">
        <v>0</v>
      </c>
      <c r="AC42" s="105">
        <v>400</v>
      </c>
      <c r="AD42" s="237">
        <v>0</v>
      </c>
      <c r="AE42" s="295">
        <v>0</v>
      </c>
      <c r="AF42" s="30">
        <v>0</v>
      </c>
      <c r="AG42" s="105">
        <v>500</v>
      </c>
      <c r="AI42" s="174"/>
      <c r="AJ42" s="174"/>
      <c r="AK42" s="174"/>
      <c r="AL42" s="174"/>
      <c r="AM42" s="174"/>
      <c r="AN42" s="174"/>
      <c r="AO42" s="174">
        <v>409</v>
      </c>
      <c r="AP42" s="174">
        <f t="shared" si="8"/>
        <v>500</v>
      </c>
      <c r="AT42" s="31"/>
    </row>
    <row r="43" spans="1:46" x14ac:dyDescent="0.35">
      <c r="A43" s="13" t="s">
        <v>186</v>
      </c>
      <c r="B43" s="218" t="s">
        <v>91</v>
      </c>
      <c r="C43" s="91">
        <v>-7</v>
      </c>
      <c r="D43" s="30">
        <v>0</v>
      </c>
      <c r="E43" s="105">
        <v>-2</v>
      </c>
      <c r="F43" s="218">
        <v>-2</v>
      </c>
      <c r="G43" s="91">
        <v>-15</v>
      </c>
      <c r="H43" s="30">
        <v>-2</v>
      </c>
      <c r="I43" s="105">
        <v>0</v>
      </c>
      <c r="J43" s="237">
        <v>0</v>
      </c>
      <c r="K43" s="295">
        <v>0</v>
      </c>
      <c r="L43" s="30">
        <v>-15</v>
      </c>
      <c r="M43" s="105">
        <v>-15</v>
      </c>
      <c r="N43" s="237">
        <v>-2</v>
      </c>
      <c r="O43" s="295">
        <v>-4</v>
      </c>
      <c r="P43" s="30">
        <v>0</v>
      </c>
      <c r="Q43" s="105">
        <v>-2</v>
      </c>
      <c r="R43" s="237">
        <v>0</v>
      </c>
      <c r="S43" s="295">
        <v>-2</v>
      </c>
      <c r="T43" s="30">
        <v>-7</v>
      </c>
      <c r="U43" s="105">
        <v>-11</v>
      </c>
      <c r="V43" s="237">
        <v>-58</v>
      </c>
      <c r="W43" s="295">
        <v>-4</v>
      </c>
      <c r="X43" s="30">
        <v>-31</v>
      </c>
      <c r="Y43" s="105">
        <v>-1</v>
      </c>
      <c r="Z43" s="237">
        <v>-34</v>
      </c>
      <c r="AA43" s="295">
        <v>0</v>
      </c>
      <c r="AB43" s="30">
        <v>-159</v>
      </c>
      <c r="AC43" s="105">
        <v>-67</v>
      </c>
      <c r="AD43" s="237">
        <v>-53</v>
      </c>
      <c r="AE43" s="295">
        <v>-93</v>
      </c>
      <c r="AF43" s="30">
        <v>-173</v>
      </c>
      <c r="AG43" s="105">
        <v>-330</v>
      </c>
      <c r="AI43" s="174">
        <v>-9</v>
      </c>
      <c r="AJ43" s="174">
        <f t="shared" si="9"/>
        <v>-19</v>
      </c>
      <c r="AK43" s="174">
        <f t="shared" si="10"/>
        <v>-30</v>
      </c>
      <c r="AL43" s="174">
        <f t="shared" si="6"/>
        <v>-8</v>
      </c>
      <c r="AM43" s="174">
        <f t="shared" si="7"/>
        <v>-20</v>
      </c>
      <c r="AN43" s="174">
        <v>-94</v>
      </c>
      <c r="AO43" s="174">
        <v>-260</v>
      </c>
      <c r="AP43" s="174">
        <f t="shared" si="8"/>
        <v>-649</v>
      </c>
      <c r="AT43" s="31"/>
    </row>
    <row r="44" spans="1:46" x14ac:dyDescent="0.35">
      <c r="A44" s="13" t="s">
        <v>187</v>
      </c>
      <c r="B44" s="218"/>
      <c r="C44" s="91"/>
      <c r="D44" s="30"/>
      <c r="E44" s="105">
        <v>2</v>
      </c>
      <c r="F44" s="218">
        <v>1</v>
      </c>
      <c r="G44" s="295">
        <v>0</v>
      </c>
      <c r="H44" s="30">
        <v>0</v>
      </c>
      <c r="I44" s="105">
        <v>0</v>
      </c>
      <c r="J44" s="237">
        <v>0</v>
      </c>
      <c r="K44" s="295">
        <v>0</v>
      </c>
      <c r="L44" s="30">
        <v>0</v>
      </c>
      <c r="M44" s="105">
        <v>2</v>
      </c>
      <c r="N44" s="237">
        <v>8</v>
      </c>
      <c r="O44" s="295">
        <v>0</v>
      </c>
      <c r="P44" s="30">
        <v>0</v>
      </c>
      <c r="Q44" s="105">
        <v>0</v>
      </c>
      <c r="R44" s="237">
        <v>0</v>
      </c>
      <c r="S44" s="295">
        <v>12</v>
      </c>
      <c r="T44" s="30">
        <v>0</v>
      </c>
      <c r="U44" s="105">
        <v>1</v>
      </c>
      <c r="V44" s="237">
        <v>0</v>
      </c>
      <c r="W44" s="295">
        <v>0</v>
      </c>
      <c r="X44" s="30">
        <v>0</v>
      </c>
      <c r="Y44" s="105">
        <v>0</v>
      </c>
      <c r="Z44" s="237">
        <v>5</v>
      </c>
      <c r="AA44" s="295">
        <v>0</v>
      </c>
      <c r="AB44" s="30">
        <v>0</v>
      </c>
      <c r="AC44" s="105">
        <v>0</v>
      </c>
      <c r="AD44" s="237">
        <v>0</v>
      </c>
      <c r="AE44" s="295">
        <v>0</v>
      </c>
      <c r="AF44" s="30">
        <v>0</v>
      </c>
      <c r="AG44" s="105">
        <v>2</v>
      </c>
      <c r="AI44" s="174">
        <v>2</v>
      </c>
      <c r="AJ44" s="174">
        <f t="shared" si="9"/>
        <v>1</v>
      </c>
      <c r="AK44" s="174">
        <f t="shared" si="10"/>
        <v>2</v>
      </c>
      <c r="AL44" s="174">
        <f t="shared" si="6"/>
        <v>8</v>
      </c>
      <c r="AM44" s="174">
        <f t="shared" si="7"/>
        <v>13</v>
      </c>
      <c r="AN44" s="174">
        <v>0</v>
      </c>
      <c r="AO44" s="174">
        <v>5</v>
      </c>
      <c r="AP44" s="174">
        <f t="shared" si="8"/>
        <v>2</v>
      </c>
      <c r="AT44" s="31"/>
    </row>
    <row r="45" spans="1:46" x14ac:dyDescent="0.35">
      <c r="A45" s="13" t="s">
        <v>188</v>
      </c>
      <c r="B45" s="221" t="s">
        <v>91</v>
      </c>
      <c r="C45" s="208" t="s">
        <v>91</v>
      </c>
      <c r="D45" s="30">
        <v>0</v>
      </c>
      <c r="E45" s="213">
        <v>0</v>
      </c>
      <c r="F45" s="237">
        <v>0</v>
      </c>
      <c r="G45" s="295">
        <v>0</v>
      </c>
      <c r="H45" s="30">
        <v>0</v>
      </c>
      <c r="I45" s="213">
        <v>0</v>
      </c>
      <c r="J45" s="237">
        <v>0</v>
      </c>
      <c r="K45" s="295">
        <v>0</v>
      </c>
      <c r="L45" s="30">
        <v>0</v>
      </c>
      <c r="M45" s="213">
        <v>0</v>
      </c>
      <c r="N45" s="237">
        <v>0</v>
      </c>
      <c r="O45" s="295">
        <v>0</v>
      </c>
      <c r="P45" s="30">
        <v>0</v>
      </c>
      <c r="Q45" s="213">
        <v>0</v>
      </c>
      <c r="R45" s="237">
        <v>0</v>
      </c>
      <c r="S45" s="295">
        <v>0</v>
      </c>
      <c r="T45" s="30">
        <v>0</v>
      </c>
      <c r="U45" s="213">
        <v>0</v>
      </c>
      <c r="V45" s="237">
        <v>0</v>
      </c>
      <c r="W45" s="295">
        <v>0</v>
      </c>
      <c r="X45" s="30">
        <v>0</v>
      </c>
      <c r="Y45" s="213">
        <v>0</v>
      </c>
      <c r="Z45" s="237">
        <v>0</v>
      </c>
      <c r="AA45" s="295">
        <v>0</v>
      </c>
      <c r="AB45" s="30">
        <v>0</v>
      </c>
      <c r="AC45" s="213">
        <v>0</v>
      </c>
      <c r="AD45" s="237">
        <v>0</v>
      </c>
      <c r="AE45" s="295">
        <v>0</v>
      </c>
      <c r="AF45" s="30"/>
      <c r="AG45" s="213"/>
      <c r="AI45" s="174" t="s">
        <v>91</v>
      </c>
      <c r="AJ45" s="174">
        <f t="shared" si="9"/>
        <v>0</v>
      </c>
      <c r="AK45" s="174">
        <f t="shared" si="10"/>
        <v>0</v>
      </c>
      <c r="AL45" s="174">
        <f t="shared" si="6"/>
        <v>0</v>
      </c>
      <c r="AM45" s="174">
        <f t="shared" si="7"/>
        <v>0</v>
      </c>
      <c r="AN45" s="174">
        <v>0</v>
      </c>
      <c r="AO45" s="174">
        <v>0</v>
      </c>
      <c r="AP45" s="174">
        <f t="shared" si="8"/>
        <v>0</v>
      </c>
      <c r="AT45" s="31"/>
    </row>
    <row r="46" spans="1:46" ht="13.15" x14ac:dyDescent="0.4">
      <c r="A46" s="26" t="s">
        <v>189</v>
      </c>
      <c r="B46" s="222">
        <v>-174</v>
      </c>
      <c r="C46" s="204">
        <v>-132</v>
      </c>
      <c r="D46" s="71">
        <v>-42</v>
      </c>
      <c r="E46" s="317">
        <v>-174</v>
      </c>
      <c r="F46" s="222">
        <v>-136</v>
      </c>
      <c r="G46" s="204">
        <v>-144</v>
      </c>
      <c r="H46" s="71">
        <v>-138</v>
      </c>
      <c r="I46" s="317">
        <v>-1866</v>
      </c>
      <c r="J46" s="222">
        <v>-37</v>
      </c>
      <c r="K46" s="204">
        <v>-113</v>
      </c>
      <c r="L46" s="71">
        <v>-105</v>
      </c>
      <c r="M46" s="317">
        <v>-163</v>
      </c>
      <c r="N46" s="222">
        <v>-181</v>
      </c>
      <c r="O46" s="204">
        <v>-189</v>
      </c>
      <c r="P46" s="71">
        <v>-248</v>
      </c>
      <c r="Q46" s="317">
        <v>-316</v>
      </c>
      <c r="R46" s="222">
        <v>-329</v>
      </c>
      <c r="S46" s="204">
        <v>-288</v>
      </c>
      <c r="T46" s="71">
        <v>-360</v>
      </c>
      <c r="U46" s="317">
        <v>-272</v>
      </c>
      <c r="V46" s="222">
        <v>-351</v>
      </c>
      <c r="W46" s="204">
        <v>-255</v>
      </c>
      <c r="X46" s="71">
        <v>-273</v>
      </c>
      <c r="Y46" s="317">
        <v>-629</v>
      </c>
      <c r="Z46" s="222">
        <v>-274</v>
      </c>
      <c r="AA46" s="204">
        <v>-239</v>
      </c>
      <c r="AB46" s="71">
        <v>-371</v>
      </c>
      <c r="AC46" s="317">
        <v>198</v>
      </c>
      <c r="AD46" s="222">
        <v>-216</v>
      </c>
      <c r="AE46" s="204">
        <v>-892</v>
      </c>
      <c r="AF46" s="71">
        <v>-783</v>
      </c>
      <c r="AG46" s="317">
        <v>-466</v>
      </c>
      <c r="AI46" s="314">
        <v>-522</v>
      </c>
      <c r="AJ46" s="314">
        <f t="shared" si="9"/>
        <v>-2284</v>
      </c>
      <c r="AK46" s="314">
        <f t="shared" si="10"/>
        <v>-418</v>
      </c>
      <c r="AL46" s="314">
        <f t="shared" si="6"/>
        <v>-934</v>
      </c>
      <c r="AM46" s="314">
        <f t="shared" si="7"/>
        <v>-1249</v>
      </c>
      <c r="AN46" s="314">
        <v>-1508</v>
      </c>
      <c r="AO46" s="314">
        <v>-686</v>
      </c>
      <c r="AP46" s="314">
        <f t="shared" si="8"/>
        <v>-2357</v>
      </c>
      <c r="AT46" s="31"/>
    </row>
    <row r="47" spans="1:46" ht="10.15" customHeight="1" x14ac:dyDescent="0.35">
      <c r="A47" s="13"/>
      <c r="B47" s="218"/>
      <c r="C47" s="91"/>
      <c r="D47" s="34"/>
      <c r="E47" s="105"/>
      <c r="F47" s="218"/>
      <c r="G47" s="91"/>
      <c r="H47" s="34"/>
      <c r="I47" s="105"/>
      <c r="J47" s="218"/>
      <c r="K47" s="91"/>
      <c r="L47" s="34"/>
      <c r="M47" s="105"/>
      <c r="N47" s="218"/>
      <c r="O47" s="91"/>
      <c r="P47" s="34"/>
      <c r="Q47" s="105"/>
      <c r="R47" s="218"/>
      <c r="S47" s="91"/>
      <c r="T47" s="34"/>
      <c r="U47" s="105"/>
      <c r="V47" s="218"/>
      <c r="W47" s="91"/>
      <c r="X47" s="34"/>
      <c r="Y47" s="105"/>
      <c r="Z47" s="218"/>
      <c r="AA47" s="91"/>
      <c r="AB47" s="34"/>
      <c r="AC47" s="105"/>
      <c r="AD47" s="218"/>
      <c r="AE47" s="91"/>
      <c r="AF47" s="34"/>
      <c r="AG47" s="105"/>
      <c r="AI47" s="137"/>
      <c r="AJ47" s="137"/>
      <c r="AK47" s="137"/>
      <c r="AL47" s="137"/>
      <c r="AM47" s="137"/>
      <c r="AN47" s="137"/>
      <c r="AO47" s="137"/>
      <c r="AP47" s="137"/>
      <c r="AT47" s="31"/>
    </row>
    <row r="48" spans="1:46" ht="13.7" customHeight="1" x14ac:dyDescent="0.35">
      <c r="A48" s="26" t="s">
        <v>190</v>
      </c>
      <c r="B48" s="218"/>
      <c r="C48" s="91"/>
      <c r="D48" s="34"/>
      <c r="E48" s="105"/>
      <c r="F48" s="218"/>
      <c r="G48" s="91"/>
      <c r="H48" s="34"/>
      <c r="I48" s="105"/>
      <c r="J48" s="218"/>
      <c r="K48" s="91"/>
      <c r="L48" s="34"/>
      <c r="M48" s="105"/>
      <c r="N48" s="218"/>
      <c r="O48" s="91"/>
      <c r="P48" s="34"/>
      <c r="Q48" s="105"/>
      <c r="R48" s="218"/>
      <c r="S48" s="91"/>
      <c r="T48" s="34"/>
      <c r="U48" s="105"/>
      <c r="V48" s="218"/>
      <c r="W48" s="91"/>
      <c r="X48" s="34"/>
      <c r="Y48" s="105"/>
      <c r="Z48" s="218"/>
      <c r="AA48" s="91"/>
      <c r="AB48" s="34"/>
      <c r="AC48" s="105"/>
      <c r="AD48" s="218"/>
      <c r="AE48" s="91"/>
      <c r="AF48" s="34"/>
      <c r="AG48" s="105"/>
      <c r="AI48" s="137"/>
      <c r="AJ48" s="137"/>
      <c r="AK48" s="137"/>
      <c r="AL48" s="137"/>
      <c r="AM48" s="137"/>
      <c r="AN48" s="137"/>
      <c r="AO48" s="137"/>
      <c r="AP48" s="137"/>
      <c r="AT48" s="31"/>
    </row>
    <row r="49" spans="1:46" x14ac:dyDescent="0.35">
      <c r="A49" s="13" t="s">
        <v>191</v>
      </c>
      <c r="B49" s="221" t="s">
        <v>91</v>
      </c>
      <c r="C49" s="208" t="s">
        <v>91</v>
      </c>
      <c r="D49" s="30">
        <v>0</v>
      </c>
      <c r="E49" s="213">
        <v>0</v>
      </c>
      <c r="F49" s="237">
        <v>0</v>
      </c>
      <c r="G49" s="295">
        <v>0</v>
      </c>
      <c r="H49" s="30">
        <v>0</v>
      </c>
      <c r="I49" s="213">
        <v>0</v>
      </c>
      <c r="J49" s="237">
        <v>0</v>
      </c>
      <c r="K49" s="295">
        <v>0</v>
      </c>
      <c r="L49" s="30">
        <v>0</v>
      </c>
      <c r="M49" s="213">
        <v>0</v>
      </c>
      <c r="N49" s="237">
        <v>0</v>
      </c>
      <c r="O49" s="295">
        <v>0</v>
      </c>
      <c r="P49" s="30">
        <v>0</v>
      </c>
      <c r="Q49" s="213">
        <v>0</v>
      </c>
      <c r="R49" s="237">
        <v>0</v>
      </c>
      <c r="S49" s="295">
        <v>0</v>
      </c>
      <c r="T49" s="30">
        <v>0</v>
      </c>
      <c r="U49" s="213">
        <v>0</v>
      </c>
      <c r="V49" s="237">
        <v>0</v>
      </c>
      <c r="W49" s="295">
        <v>0</v>
      </c>
      <c r="X49" s="30">
        <v>0</v>
      </c>
      <c r="Y49" s="213">
        <v>0</v>
      </c>
      <c r="Z49" s="237">
        <v>0</v>
      </c>
      <c r="AA49" s="295">
        <v>0</v>
      </c>
      <c r="AB49" s="30">
        <v>0</v>
      </c>
      <c r="AC49" s="213">
        <v>0</v>
      </c>
      <c r="AD49" s="237">
        <v>0</v>
      </c>
      <c r="AE49" s="295">
        <v>0</v>
      </c>
      <c r="AF49" s="30">
        <v>0</v>
      </c>
      <c r="AG49" s="213"/>
      <c r="AI49" s="174">
        <v>0</v>
      </c>
      <c r="AJ49" s="174">
        <f t="shared" ref="AJ49:AJ70" si="11">SUM(F49:I49)</f>
        <v>0</v>
      </c>
      <c r="AK49" s="174">
        <f t="shared" ref="AK49:AK72" si="12">SUM(J49:M49)</f>
        <v>0</v>
      </c>
      <c r="AL49" s="174">
        <f t="shared" ref="AL49:AL72" si="13">N49+O49+P49+Q49</f>
        <v>0</v>
      </c>
      <c r="AM49" s="174">
        <f t="shared" ref="AM49:AM80" si="14">SUM(R49:U49)</f>
        <v>0</v>
      </c>
      <c r="AN49" s="174">
        <v>0</v>
      </c>
      <c r="AO49" s="174">
        <v>0</v>
      </c>
      <c r="AP49" s="174">
        <f t="shared" ref="AP49:AP72" si="15">SUM(AD49:AG49)</f>
        <v>0</v>
      </c>
      <c r="AT49" s="31"/>
    </row>
    <row r="50" spans="1:46" x14ac:dyDescent="0.35">
      <c r="A50" s="13" t="s">
        <v>192</v>
      </c>
      <c r="B50" s="221"/>
      <c r="C50" s="208"/>
      <c r="D50" s="30"/>
      <c r="E50" s="213"/>
      <c r="F50" s="237"/>
      <c r="G50" s="295"/>
      <c r="H50" s="30"/>
      <c r="I50" s="213">
        <v>-1150</v>
      </c>
      <c r="J50" s="237">
        <v>0</v>
      </c>
      <c r="K50" s="295">
        <v>0</v>
      </c>
      <c r="L50" s="30">
        <v>0</v>
      </c>
      <c r="M50" s="213">
        <v>0</v>
      </c>
      <c r="N50" s="237">
        <v>0</v>
      </c>
      <c r="O50" s="295">
        <v>0</v>
      </c>
      <c r="P50" s="30">
        <v>0</v>
      </c>
      <c r="Q50" s="213">
        <v>0</v>
      </c>
      <c r="R50" s="237">
        <v>0</v>
      </c>
      <c r="S50" s="295">
        <v>0</v>
      </c>
      <c r="T50" s="30">
        <v>0</v>
      </c>
      <c r="U50" s="213">
        <v>0</v>
      </c>
      <c r="V50" s="237">
        <v>0</v>
      </c>
      <c r="W50" s="295">
        <v>0</v>
      </c>
      <c r="X50" s="30">
        <v>0</v>
      </c>
      <c r="Y50" s="213">
        <v>0</v>
      </c>
      <c r="Z50" s="237">
        <v>0</v>
      </c>
      <c r="AA50" s="295">
        <v>0</v>
      </c>
      <c r="AB50" s="30">
        <v>0</v>
      </c>
      <c r="AC50" s="213">
        <v>0</v>
      </c>
      <c r="AD50" s="237">
        <v>0</v>
      </c>
      <c r="AE50" s="295">
        <v>0</v>
      </c>
      <c r="AF50" s="30">
        <v>0</v>
      </c>
      <c r="AG50" s="213"/>
      <c r="AI50" s="174"/>
      <c r="AJ50" s="174">
        <f t="shared" si="11"/>
        <v>-1150</v>
      </c>
      <c r="AK50" s="174">
        <f t="shared" si="12"/>
        <v>0</v>
      </c>
      <c r="AL50" s="174">
        <f t="shared" si="13"/>
        <v>0</v>
      </c>
      <c r="AM50" s="174">
        <f t="shared" si="14"/>
        <v>0</v>
      </c>
      <c r="AN50" s="174">
        <v>0</v>
      </c>
      <c r="AO50" s="174">
        <v>0</v>
      </c>
      <c r="AP50" s="174">
        <f t="shared" si="15"/>
        <v>0</v>
      </c>
      <c r="AT50" s="31"/>
    </row>
    <row r="51" spans="1:46" x14ac:dyDescent="0.35">
      <c r="A51" s="13" t="s">
        <v>193</v>
      </c>
      <c r="B51" s="221"/>
      <c r="C51" s="208"/>
      <c r="D51" s="30"/>
      <c r="E51" s="213"/>
      <c r="F51" s="237"/>
      <c r="G51" s="295"/>
      <c r="H51" s="30"/>
      <c r="I51" s="213">
        <v>144</v>
      </c>
      <c r="J51" s="237">
        <v>0</v>
      </c>
      <c r="K51" s="295">
        <v>0</v>
      </c>
      <c r="L51" s="30">
        <v>0</v>
      </c>
      <c r="M51" s="213">
        <v>0</v>
      </c>
      <c r="N51" s="237">
        <v>0</v>
      </c>
      <c r="O51" s="295">
        <v>0</v>
      </c>
      <c r="P51" s="30">
        <v>0</v>
      </c>
      <c r="Q51" s="213">
        <v>0</v>
      </c>
      <c r="R51" s="237">
        <v>0</v>
      </c>
      <c r="S51" s="295">
        <v>0</v>
      </c>
      <c r="T51" s="30">
        <v>0</v>
      </c>
      <c r="U51" s="213">
        <v>0</v>
      </c>
      <c r="V51" s="237">
        <v>0</v>
      </c>
      <c r="W51" s="295">
        <v>0</v>
      </c>
      <c r="X51" s="30">
        <v>0</v>
      </c>
      <c r="Y51" s="213">
        <v>0</v>
      </c>
      <c r="Z51" s="237">
        <v>0</v>
      </c>
      <c r="AA51" s="295">
        <v>0</v>
      </c>
      <c r="AB51" s="30">
        <v>0</v>
      </c>
      <c r="AC51" s="213">
        <v>0</v>
      </c>
      <c r="AD51" s="237">
        <v>0</v>
      </c>
      <c r="AE51" s="295">
        <v>0</v>
      </c>
      <c r="AF51" s="30">
        <v>0</v>
      </c>
      <c r="AG51" s="213"/>
      <c r="AI51" s="174"/>
      <c r="AJ51" s="174">
        <f t="shared" si="11"/>
        <v>144</v>
      </c>
      <c r="AK51" s="174">
        <f t="shared" si="12"/>
        <v>0</v>
      </c>
      <c r="AL51" s="174">
        <f t="shared" si="13"/>
        <v>0</v>
      </c>
      <c r="AM51" s="174">
        <f t="shared" si="14"/>
        <v>0</v>
      </c>
      <c r="AN51" s="174">
        <v>0</v>
      </c>
      <c r="AO51" s="174">
        <v>0</v>
      </c>
      <c r="AP51" s="174">
        <f t="shared" si="15"/>
        <v>0</v>
      </c>
      <c r="AT51" s="31"/>
    </row>
    <row r="52" spans="1:46" x14ac:dyDescent="0.35">
      <c r="A52" s="13" t="s">
        <v>194</v>
      </c>
      <c r="B52" s="221"/>
      <c r="C52" s="208"/>
      <c r="D52" s="30"/>
      <c r="E52" s="213"/>
      <c r="F52" s="237"/>
      <c r="G52" s="295"/>
      <c r="H52" s="30">
        <v>-1</v>
      </c>
      <c r="I52" s="213">
        <v>-144</v>
      </c>
      <c r="J52" s="237">
        <v>0</v>
      </c>
      <c r="K52" s="295">
        <v>0</v>
      </c>
      <c r="L52" s="30">
        <v>0</v>
      </c>
      <c r="M52" s="213">
        <v>0</v>
      </c>
      <c r="N52" s="237">
        <v>0</v>
      </c>
      <c r="O52" s="295">
        <v>0</v>
      </c>
      <c r="P52" s="30">
        <v>0</v>
      </c>
      <c r="Q52" s="213">
        <v>0</v>
      </c>
      <c r="R52" s="237">
        <v>0</v>
      </c>
      <c r="S52" s="295">
        <v>0</v>
      </c>
      <c r="T52" s="30">
        <v>0</v>
      </c>
      <c r="U52" s="213">
        <v>0</v>
      </c>
      <c r="V52" s="237">
        <v>0</v>
      </c>
      <c r="W52" s="295">
        <v>0</v>
      </c>
      <c r="X52" s="30">
        <v>0</v>
      </c>
      <c r="Y52" s="213">
        <v>0</v>
      </c>
      <c r="Z52" s="237">
        <v>0</v>
      </c>
      <c r="AA52" s="295">
        <v>0</v>
      </c>
      <c r="AB52" s="30">
        <v>0</v>
      </c>
      <c r="AC52" s="213">
        <v>0</v>
      </c>
      <c r="AD52" s="237">
        <v>0</v>
      </c>
      <c r="AE52" s="295">
        <v>0</v>
      </c>
      <c r="AF52" s="30">
        <v>0</v>
      </c>
      <c r="AG52" s="213"/>
      <c r="AI52" s="174"/>
      <c r="AJ52" s="174">
        <f t="shared" si="11"/>
        <v>-145</v>
      </c>
      <c r="AK52" s="174">
        <f t="shared" si="12"/>
        <v>0</v>
      </c>
      <c r="AL52" s="174">
        <f t="shared" si="13"/>
        <v>0</v>
      </c>
      <c r="AM52" s="174">
        <f t="shared" si="14"/>
        <v>0</v>
      </c>
      <c r="AN52" s="174">
        <v>0</v>
      </c>
      <c r="AO52" s="174">
        <v>0</v>
      </c>
      <c r="AP52" s="174">
        <f t="shared" si="15"/>
        <v>0</v>
      </c>
      <c r="AT52" s="31"/>
    </row>
    <row r="53" spans="1:46" x14ac:dyDescent="0.35">
      <c r="A53" s="13" t="s">
        <v>195</v>
      </c>
      <c r="B53" s="221"/>
      <c r="C53" s="208"/>
      <c r="D53" s="30"/>
      <c r="E53" s="213">
        <v>-1000</v>
      </c>
      <c r="F53" s="237">
        <v>0</v>
      </c>
      <c r="G53" s="295">
        <v>0</v>
      </c>
      <c r="H53" s="30">
        <v>0</v>
      </c>
      <c r="I53" s="213">
        <v>0</v>
      </c>
      <c r="J53" s="237">
        <v>0</v>
      </c>
      <c r="K53" s="295">
        <v>0</v>
      </c>
      <c r="L53" s="30">
        <v>0</v>
      </c>
      <c r="M53" s="213">
        <v>0</v>
      </c>
      <c r="N53" s="237">
        <v>0</v>
      </c>
      <c r="O53" s="295">
        <v>0</v>
      </c>
      <c r="P53" s="30">
        <v>0</v>
      </c>
      <c r="Q53" s="213">
        <v>0</v>
      </c>
      <c r="R53" s="237">
        <v>0</v>
      </c>
      <c r="S53" s="295">
        <v>0</v>
      </c>
      <c r="T53" s="30">
        <v>0</v>
      </c>
      <c r="U53" s="213">
        <v>0</v>
      </c>
      <c r="V53" s="237">
        <v>0</v>
      </c>
      <c r="W53" s="295">
        <v>0</v>
      </c>
      <c r="X53" s="30">
        <v>0</v>
      </c>
      <c r="Y53" s="213">
        <v>0</v>
      </c>
      <c r="Z53" s="237">
        <v>0</v>
      </c>
      <c r="AA53" s="295">
        <v>0</v>
      </c>
      <c r="AB53" s="30">
        <v>0</v>
      </c>
      <c r="AC53" s="213">
        <v>0</v>
      </c>
      <c r="AD53" s="237">
        <v>0</v>
      </c>
      <c r="AE53" s="295">
        <v>0</v>
      </c>
      <c r="AF53" s="30">
        <v>0</v>
      </c>
      <c r="AG53" s="213"/>
      <c r="AI53" s="174">
        <v>-1000</v>
      </c>
      <c r="AJ53" s="174">
        <f t="shared" si="11"/>
        <v>0</v>
      </c>
      <c r="AK53" s="174">
        <f t="shared" si="12"/>
        <v>0</v>
      </c>
      <c r="AL53" s="174">
        <f t="shared" si="13"/>
        <v>0</v>
      </c>
      <c r="AM53" s="174">
        <f t="shared" si="14"/>
        <v>0</v>
      </c>
      <c r="AN53" s="174">
        <v>0</v>
      </c>
      <c r="AO53" s="174">
        <v>0</v>
      </c>
      <c r="AP53" s="174">
        <f t="shared" si="15"/>
        <v>0</v>
      </c>
      <c r="AT53" s="31"/>
    </row>
    <row r="54" spans="1:46" x14ac:dyDescent="0.35">
      <c r="A54" s="13" t="s">
        <v>196</v>
      </c>
      <c r="B54" s="221" t="s">
        <v>91</v>
      </c>
      <c r="C54" s="208" t="s">
        <v>91</v>
      </c>
      <c r="D54" s="30">
        <v>1000</v>
      </c>
      <c r="E54" s="213">
        <v>0</v>
      </c>
      <c r="F54" s="237">
        <v>0</v>
      </c>
      <c r="G54" s="295">
        <v>0</v>
      </c>
      <c r="H54" s="30">
        <v>0</v>
      </c>
      <c r="I54" s="213">
        <v>0</v>
      </c>
      <c r="J54" s="237">
        <v>0</v>
      </c>
      <c r="K54" s="295">
        <v>0</v>
      </c>
      <c r="L54" s="30">
        <v>0</v>
      </c>
      <c r="M54" s="213">
        <v>0</v>
      </c>
      <c r="N54" s="237">
        <v>0</v>
      </c>
      <c r="O54" s="295">
        <v>0</v>
      </c>
      <c r="P54" s="30">
        <v>0</v>
      </c>
      <c r="Q54" s="213">
        <v>0</v>
      </c>
      <c r="R54" s="237">
        <v>0</v>
      </c>
      <c r="S54" s="295">
        <v>0</v>
      </c>
      <c r="T54" s="30">
        <v>0</v>
      </c>
      <c r="U54" s="213">
        <v>0</v>
      </c>
      <c r="V54" s="237">
        <v>0</v>
      </c>
      <c r="W54" s="295">
        <v>0</v>
      </c>
      <c r="X54" s="30">
        <v>0</v>
      </c>
      <c r="Y54" s="213">
        <v>0</v>
      </c>
      <c r="Z54" s="237">
        <v>0</v>
      </c>
      <c r="AA54" s="295">
        <v>0</v>
      </c>
      <c r="AB54" s="30">
        <v>0</v>
      </c>
      <c r="AC54" s="213">
        <v>0</v>
      </c>
      <c r="AD54" s="237">
        <v>0</v>
      </c>
      <c r="AE54" s="295">
        <v>0</v>
      </c>
      <c r="AF54" s="30">
        <v>0</v>
      </c>
      <c r="AG54" s="213"/>
      <c r="AI54" s="174">
        <v>1000</v>
      </c>
      <c r="AJ54" s="174">
        <f t="shared" si="11"/>
        <v>0</v>
      </c>
      <c r="AK54" s="174">
        <f t="shared" si="12"/>
        <v>0</v>
      </c>
      <c r="AL54" s="174">
        <f t="shared" si="13"/>
        <v>0</v>
      </c>
      <c r="AM54" s="174">
        <f t="shared" si="14"/>
        <v>0</v>
      </c>
      <c r="AN54" s="174">
        <v>0</v>
      </c>
      <c r="AO54" s="174">
        <v>0</v>
      </c>
      <c r="AP54" s="174">
        <f t="shared" si="15"/>
        <v>0</v>
      </c>
      <c r="AT54" s="31"/>
    </row>
    <row r="55" spans="1:46" hidden="1" x14ac:dyDescent="0.35">
      <c r="A55" s="13" t="s">
        <v>197</v>
      </c>
      <c r="B55" s="237">
        <v>0</v>
      </c>
      <c r="C55" s="208" t="s">
        <v>91</v>
      </c>
      <c r="D55" s="30">
        <v>0</v>
      </c>
      <c r="E55" s="213">
        <v>0</v>
      </c>
      <c r="F55" s="237">
        <v>0</v>
      </c>
      <c r="G55" s="295">
        <v>0</v>
      </c>
      <c r="H55" s="30">
        <v>0</v>
      </c>
      <c r="I55" s="213">
        <v>0</v>
      </c>
      <c r="J55" s="237">
        <v>0</v>
      </c>
      <c r="K55" s="295">
        <v>0</v>
      </c>
      <c r="L55" s="30">
        <v>0</v>
      </c>
      <c r="M55" s="213">
        <v>0</v>
      </c>
      <c r="N55" s="237">
        <v>0</v>
      </c>
      <c r="O55" s="295">
        <v>0</v>
      </c>
      <c r="P55" s="30">
        <v>0</v>
      </c>
      <c r="Q55" s="213">
        <v>0</v>
      </c>
      <c r="R55" s="237"/>
      <c r="S55" s="295">
        <v>0</v>
      </c>
      <c r="T55" s="30">
        <v>0</v>
      </c>
      <c r="U55" s="213">
        <v>0</v>
      </c>
      <c r="V55" s="237">
        <v>0</v>
      </c>
      <c r="W55" s="295"/>
      <c r="X55" s="30"/>
      <c r="Y55" s="213"/>
      <c r="Z55" s="237"/>
      <c r="AA55" s="295"/>
      <c r="AB55" s="30"/>
      <c r="AC55" s="213"/>
      <c r="AD55" s="237"/>
      <c r="AE55" s="295"/>
      <c r="AF55" s="30"/>
      <c r="AG55" s="213"/>
      <c r="AI55" s="174" t="s">
        <v>91</v>
      </c>
      <c r="AJ55" s="174">
        <f t="shared" si="11"/>
        <v>0</v>
      </c>
      <c r="AK55" s="174">
        <f t="shared" si="12"/>
        <v>0</v>
      </c>
      <c r="AL55" s="174">
        <f t="shared" si="13"/>
        <v>0</v>
      </c>
      <c r="AM55" s="174">
        <f t="shared" si="14"/>
        <v>0</v>
      </c>
      <c r="AN55" s="174">
        <v>0</v>
      </c>
      <c r="AO55" s="174">
        <v>0</v>
      </c>
      <c r="AP55" s="174">
        <f t="shared" si="15"/>
        <v>0</v>
      </c>
      <c r="AT55" s="31"/>
    </row>
    <row r="56" spans="1:46" hidden="1" x14ac:dyDescent="0.35">
      <c r="A56" s="13" t="s">
        <v>198</v>
      </c>
      <c r="B56" s="226">
        <v>0</v>
      </c>
      <c r="C56" s="91" t="s">
        <v>91</v>
      </c>
      <c r="D56" s="30">
        <v>0</v>
      </c>
      <c r="E56" s="105">
        <v>0</v>
      </c>
      <c r="F56" s="226">
        <v>0</v>
      </c>
      <c r="G56" s="295">
        <v>0</v>
      </c>
      <c r="H56" s="30">
        <v>0</v>
      </c>
      <c r="I56" s="105">
        <v>0</v>
      </c>
      <c r="J56" s="237">
        <v>0</v>
      </c>
      <c r="K56" s="295">
        <v>0</v>
      </c>
      <c r="L56" s="30">
        <v>0</v>
      </c>
      <c r="M56" s="105">
        <v>0</v>
      </c>
      <c r="N56" s="237">
        <v>0</v>
      </c>
      <c r="O56" s="295">
        <v>0</v>
      </c>
      <c r="P56" s="30">
        <v>0</v>
      </c>
      <c r="Q56" s="105">
        <v>0</v>
      </c>
      <c r="R56" s="237">
        <v>0</v>
      </c>
      <c r="S56" s="295">
        <v>0</v>
      </c>
      <c r="T56" s="30">
        <v>0</v>
      </c>
      <c r="U56" s="105">
        <v>0</v>
      </c>
      <c r="V56" s="237">
        <v>0</v>
      </c>
      <c r="W56" s="295"/>
      <c r="X56" s="30"/>
      <c r="Y56" s="105"/>
      <c r="Z56" s="237"/>
      <c r="AA56" s="295"/>
      <c r="AB56" s="30"/>
      <c r="AC56" s="105"/>
      <c r="AD56" s="237"/>
      <c r="AE56" s="295"/>
      <c r="AF56" s="30"/>
      <c r="AG56" s="213"/>
      <c r="AI56" s="174" t="s">
        <v>91</v>
      </c>
      <c r="AJ56" s="174">
        <f t="shared" si="11"/>
        <v>0</v>
      </c>
      <c r="AK56" s="174">
        <f t="shared" si="12"/>
        <v>0</v>
      </c>
      <c r="AL56" s="174">
        <f t="shared" si="13"/>
        <v>0</v>
      </c>
      <c r="AM56" s="174">
        <f t="shared" si="14"/>
        <v>0</v>
      </c>
      <c r="AN56" s="174">
        <v>0</v>
      </c>
      <c r="AO56" s="174">
        <v>0</v>
      </c>
      <c r="AP56" s="174">
        <f t="shared" si="15"/>
        <v>0</v>
      </c>
      <c r="AT56" s="31"/>
    </row>
    <row r="57" spans="1:46" x14ac:dyDescent="0.35">
      <c r="A57" s="13" t="s">
        <v>199</v>
      </c>
      <c r="B57" s="226">
        <v>0</v>
      </c>
      <c r="C57" s="91">
        <v>-1273</v>
      </c>
      <c r="D57" s="30">
        <v>0</v>
      </c>
      <c r="E57" s="105">
        <v>0</v>
      </c>
      <c r="F57" s="226">
        <v>0</v>
      </c>
      <c r="G57" s="91">
        <v>-553</v>
      </c>
      <c r="H57" s="30">
        <v>-47</v>
      </c>
      <c r="I57" s="105">
        <v>0</v>
      </c>
      <c r="J57" s="237">
        <v>0</v>
      </c>
      <c r="K57" s="295">
        <v>0</v>
      </c>
      <c r="L57" s="30">
        <v>0</v>
      </c>
      <c r="M57" s="105">
        <v>-1809</v>
      </c>
      <c r="N57" s="237">
        <v>0</v>
      </c>
      <c r="O57" s="295">
        <v>0</v>
      </c>
      <c r="P57" s="30">
        <v>0</v>
      </c>
      <c r="Q57" s="105">
        <v>-1021</v>
      </c>
      <c r="R57" s="237">
        <v>0</v>
      </c>
      <c r="S57" s="295">
        <v>-917</v>
      </c>
      <c r="T57" s="30">
        <v>0</v>
      </c>
      <c r="U57" s="105">
        <v>0</v>
      </c>
      <c r="V57" s="237">
        <v>0</v>
      </c>
      <c r="W57" s="295">
        <v>0</v>
      </c>
      <c r="X57" s="30">
        <v>0</v>
      </c>
      <c r="Y57" s="105">
        <v>0</v>
      </c>
      <c r="Z57" s="237">
        <v>-1000</v>
      </c>
      <c r="AA57" s="295">
        <v>0</v>
      </c>
      <c r="AB57" s="30">
        <v>0</v>
      </c>
      <c r="AC57" s="105">
        <v>0</v>
      </c>
      <c r="AD57" s="237">
        <v>0</v>
      </c>
      <c r="AE57" s="295">
        <v>-500</v>
      </c>
      <c r="AF57" s="30">
        <v>0</v>
      </c>
      <c r="AG57" s="213"/>
      <c r="AI57" s="137">
        <v>-1273</v>
      </c>
      <c r="AJ57" s="137">
        <f t="shared" si="11"/>
        <v>-600</v>
      </c>
      <c r="AK57" s="137">
        <f t="shared" si="12"/>
        <v>-1809</v>
      </c>
      <c r="AL57" s="137">
        <f t="shared" si="13"/>
        <v>-1021</v>
      </c>
      <c r="AM57" s="137">
        <f t="shared" si="14"/>
        <v>-917</v>
      </c>
      <c r="AN57" s="137">
        <v>0</v>
      </c>
      <c r="AO57" s="137">
        <v>-1000</v>
      </c>
      <c r="AP57" s="137">
        <f t="shared" si="15"/>
        <v>-500</v>
      </c>
      <c r="AT57" s="31"/>
    </row>
    <row r="58" spans="1:46" ht="13.7" customHeight="1" x14ac:dyDescent="0.35">
      <c r="A58" s="13" t="s">
        <v>200</v>
      </c>
      <c r="B58" s="218" t="s">
        <v>91</v>
      </c>
      <c r="C58" s="91">
        <v>-1</v>
      </c>
      <c r="D58" s="34" t="s">
        <v>91</v>
      </c>
      <c r="E58" s="105">
        <v>0</v>
      </c>
      <c r="F58" s="237">
        <v>0</v>
      </c>
      <c r="G58" s="295">
        <v>0</v>
      </c>
      <c r="H58" s="30">
        <v>0</v>
      </c>
      <c r="I58" s="105">
        <v>0</v>
      </c>
      <c r="J58" s="237">
        <v>0</v>
      </c>
      <c r="K58" s="295">
        <v>0</v>
      </c>
      <c r="L58" s="30">
        <v>0</v>
      </c>
      <c r="M58" s="105">
        <v>0</v>
      </c>
      <c r="N58" s="237">
        <v>0</v>
      </c>
      <c r="O58" s="295">
        <v>0</v>
      </c>
      <c r="P58" s="30">
        <v>0</v>
      </c>
      <c r="Q58" s="105">
        <v>0</v>
      </c>
      <c r="R58" s="237">
        <v>0</v>
      </c>
      <c r="S58" s="295">
        <v>0</v>
      </c>
      <c r="T58" s="30">
        <v>0</v>
      </c>
      <c r="U58" s="105">
        <v>0</v>
      </c>
      <c r="V58" s="237">
        <v>0</v>
      </c>
      <c r="W58" s="295">
        <v>0</v>
      </c>
      <c r="X58" s="30">
        <v>0</v>
      </c>
      <c r="Y58" s="105">
        <v>0</v>
      </c>
      <c r="Z58" s="237">
        <v>0</v>
      </c>
      <c r="AA58" s="295">
        <v>0</v>
      </c>
      <c r="AB58" s="30">
        <v>0</v>
      </c>
      <c r="AC58" s="105">
        <v>0</v>
      </c>
      <c r="AD58" s="237">
        <v>0</v>
      </c>
      <c r="AE58" s="295">
        <v>0</v>
      </c>
      <c r="AF58" s="30">
        <v>0</v>
      </c>
      <c r="AG58" s="213"/>
      <c r="AI58" s="137">
        <v>-1</v>
      </c>
      <c r="AJ58" s="137">
        <f t="shared" si="11"/>
        <v>0</v>
      </c>
      <c r="AK58" s="137">
        <f t="shared" si="12"/>
        <v>0</v>
      </c>
      <c r="AL58" s="137">
        <f t="shared" si="13"/>
        <v>0</v>
      </c>
      <c r="AM58" s="137">
        <f t="shared" si="14"/>
        <v>0</v>
      </c>
      <c r="AN58" s="137">
        <v>0</v>
      </c>
      <c r="AO58" s="137">
        <v>0</v>
      </c>
      <c r="AP58" s="137">
        <f t="shared" si="15"/>
        <v>0</v>
      </c>
      <c r="AT58" s="31"/>
    </row>
    <row r="59" spans="1:46" x14ac:dyDescent="0.35">
      <c r="A59" s="13" t="s">
        <v>201</v>
      </c>
      <c r="B59" s="237">
        <v>0</v>
      </c>
      <c r="C59" s="208" t="s">
        <v>91</v>
      </c>
      <c r="D59" s="30">
        <v>0</v>
      </c>
      <c r="E59" s="213">
        <v>1997</v>
      </c>
      <c r="F59" s="237">
        <v>0</v>
      </c>
      <c r="G59" s="295">
        <v>1750</v>
      </c>
      <c r="H59" s="30">
        <v>0</v>
      </c>
      <c r="I59" s="213">
        <v>0</v>
      </c>
      <c r="J59" s="237">
        <v>0</v>
      </c>
      <c r="K59" s="295">
        <v>2000</v>
      </c>
      <c r="L59" s="30">
        <v>0</v>
      </c>
      <c r="M59" s="213">
        <v>0</v>
      </c>
      <c r="N59" s="237">
        <v>0</v>
      </c>
      <c r="O59" s="295">
        <v>2000</v>
      </c>
      <c r="P59" s="30">
        <v>0</v>
      </c>
      <c r="Q59" s="213">
        <v>2000</v>
      </c>
      <c r="R59" s="237">
        <v>0</v>
      </c>
      <c r="S59" s="295">
        <v>1496</v>
      </c>
      <c r="T59" s="30">
        <v>0</v>
      </c>
      <c r="U59" s="213">
        <v>0</v>
      </c>
      <c r="V59" s="237">
        <v>0</v>
      </c>
      <c r="W59" s="295">
        <v>0</v>
      </c>
      <c r="X59" s="30">
        <v>0</v>
      </c>
      <c r="Y59" s="213">
        <v>0</v>
      </c>
      <c r="Z59" s="237">
        <v>0</v>
      </c>
      <c r="AA59" s="295">
        <v>0</v>
      </c>
      <c r="AB59" s="30">
        <v>0</v>
      </c>
      <c r="AC59" s="213">
        <v>670</v>
      </c>
      <c r="AD59" s="237">
        <v>370</v>
      </c>
      <c r="AE59" s="295">
        <v>0</v>
      </c>
      <c r="AF59" s="30">
        <v>1498</v>
      </c>
      <c r="AG59" s="213">
        <v>0</v>
      </c>
      <c r="AI59" s="174">
        <v>1997</v>
      </c>
      <c r="AJ59" s="174">
        <f t="shared" si="11"/>
        <v>1750</v>
      </c>
      <c r="AK59" s="174">
        <f t="shared" si="12"/>
        <v>2000</v>
      </c>
      <c r="AL59" s="174">
        <f t="shared" si="13"/>
        <v>4000</v>
      </c>
      <c r="AM59" s="174">
        <f t="shared" si="14"/>
        <v>1496</v>
      </c>
      <c r="AN59" s="174">
        <v>0</v>
      </c>
      <c r="AO59" s="174">
        <v>670</v>
      </c>
      <c r="AP59" s="174">
        <f t="shared" si="15"/>
        <v>1868</v>
      </c>
      <c r="AT59" s="31"/>
    </row>
    <row r="60" spans="1:46" x14ac:dyDescent="0.35">
      <c r="A60" s="13" t="s">
        <v>202</v>
      </c>
      <c r="B60" s="237">
        <v>0</v>
      </c>
      <c r="C60" s="208" t="s">
        <v>91</v>
      </c>
      <c r="D60" s="30">
        <v>-11</v>
      </c>
      <c r="E60" s="213">
        <v>-12</v>
      </c>
      <c r="F60" s="237">
        <v>0</v>
      </c>
      <c r="G60" s="208">
        <v>-23</v>
      </c>
      <c r="H60" s="30">
        <v>-1</v>
      </c>
      <c r="I60" s="213">
        <v>0</v>
      </c>
      <c r="J60" s="237">
        <v>0</v>
      </c>
      <c r="K60" s="208">
        <v>-15</v>
      </c>
      <c r="L60" s="30">
        <v>0</v>
      </c>
      <c r="M60" s="213">
        <v>0</v>
      </c>
      <c r="N60" s="237">
        <v>0</v>
      </c>
      <c r="O60" s="208">
        <v>-22</v>
      </c>
      <c r="P60" s="30">
        <v>0</v>
      </c>
      <c r="Q60" s="213">
        <v>-25</v>
      </c>
      <c r="R60" s="237">
        <v>-1</v>
      </c>
      <c r="S60" s="208">
        <v>-12</v>
      </c>
      <c r="T60" s="30">
        <v>0</v>
      </c>
      <c r="U60" s="213">
        <v>-1</v>
      </c>
      <c r="V60" s="237">
        <v>0</v>
      </c>
      <c r="W60" s="295">
        <v>0</v>
      </c>
      <c r="X60" s="30">
        <v>0</v>
      </c>
      <c r="Y60" s="213">
        <v>0</v>
      </c>
      <c r="Z60" s="237">
        <v>0</v>
      </c>
      <c r="AA60" s="295">
        <v>0</v>
      </c>
      <c r="AB60" s="30">
        <v>0</v>
      </c>
      <c r="AC60" s="213">
        <v>-1</v>
      </c>
      <c r="AD60" s="237">
        <v>0</v>
      </c>
      <c r="AE60" s="295">
        <v>0</v>
      </c>
      <c r="AF60" s="30">
        <v>-8</v>
      </c>
      <c r="AG60" s="213">
        <v>0</v>
      </c>
      <c r="AI60" s="174">
        <v>-23</v>
      </c>
      <c r="AJ60" s="174">
        <f t="shared" si="11"/>
        <v>-24</v>
      </c>
      <c r="AK60" s="174">
        <f t="shared" si="12"/>
        <v>-15</v>
      </c>
      <c r="AL60" s="174">
        <f t="shared" si="13"/>
        <v>-47</v>
      </c>
      <c r="AM60" s="174">
        <f t="shared" si="14"/>
        <v>-14</v>
      </c>
      <c r="AN60" s="174">
        <v>0</v>
      </c>
      <c r="AO60" s="174">
        <v>-1</v>
      </c>
      <c r="AP60" s="174">
        <f t="shared" si="15"/>
        <v>-8</v>
      </c>
      <c r="AT60" s="31"/>
    </row>
    <row r="61" spans="1:46" x14ac:dyDescent="0.35">
      <c r="A61" s="13" t="s">
        <v>203</v>
      </c>
      <c r="B61" s="237"/>
      <c r="C61" s="208"/>
      <c r="D61" s="30"/>
      <c r="E61" s="213"/>
      <c r="F61" s="237"/>
      <c r="G61" s="208"/>
      <c r="H61" s="30"/>
      <c r="I61" s="213"/>
      <c r="J61" s="237"/>
      <c r="K61" s="208"/>
      <c r="L61" s="30"/>
      <c r="M61" s="213"/>
      <c r="N61" s="237"/>
      <c r="O61" s="208"/>
      <c r="P61" s="30"/>
      <c r="Q61" s="213"/>
      <c r="R61" s="237"/>
      <c r="S61" s="208"/>
      <c r="T61" s="30"/>
      <c r="U61" s="213"/>
      <c r="V61" s="237"/>
      <c r="W61" s="295"/>
      <c r="X61" s="30"/>
      <c r="Y61" s="213"/>
      <c r="Z61" s="237"/>
      <c r="AA61" s="295"/>
      <c r="AB61" s="30"/>
      <c r="AC61" s="213"/>
      <c r="AD61" s="237">
        <v>646</v>
      </c>
      <c r="AE61" s="295">
        <f>1524+41</f>
        <v>1565</v>
      </c>
      <c r="AF61" s="30">
        <v>215</v>
      </c>
      <c r="AG61" s="213">
        <v>0</v>
      </c>
      <c r="AI61" s="174"/>
      <c r="AJ61" s="174"/>
      <c r="AK61" s="174"/>
      <c r="AL61" s="174"/>
      <c r="AM61" s="174"/>
      <c r="AN61" s="174"/>
      <c r="AO61" s="174"/>
      <c r="AP61" s="174">
        <f t="shared" si="15"/>
        <v>2426</v>
      </c>
      <c r="AT61" s="31"/>
    </row>
    <row r="62" spans="1:46" x14ac:dyDescent="0.35">
      <c r="A62" s="13" t="s">
        <v>204</v>
      </c>
      <c r="B62" s="237"/>
      <c r="C62" s="208"/>
      <c r="D62" s="30"/>
      <c r="E62" s="213"/>
      <c r="F62" s="237"/>
      <c r="G62" s="208"/>
      <c r="H62" s="30"/>
      <c r="I62" s="213"/>
      <c r="J62" s="237"/>
      <c r="K62" s="208"/>
      <c r="L62" s="30"/>
      <c r="M62" s="213"/>
      <c r="N62" s="237"/>
      <c r="O62" s="208"/>
      <c r="P62" s="30"/>
      <c r="Q62" s="213"/>
      <c r="R62" s="237"/>
      <c r="S62" s="208"/>
      <c r="T62" s="30"/>
      <c r="U62" s="213"/>
      <c r="V62" s="237"/>
      <c r="W62" s="295"/>
      <c r="X62" s="30"/>
      <c r="Y62" s="213"/>
      <c r="Z62" s="237"/>
      <c r="AA62" s="295"/>
      <c r="AB62" s="30"/>
      <c r="AC62" s="213"/>
      <c r="AD62" s="237">
        <v>-146</v>
      </c>
      <c r="AE62" s="295">
        <f>-1274-41</f>
        <v>-1315</v>
      </c>
      <c r="AF62" s="30">
        <v>-950</v>
      </c>
      <c r="AG62" s="213">
        <v>-15</v>
      </c>
      <c r="AI62" s="174"/>
      <c r="AJ62" s="174"/>
      <c r="AK62" s="174"/>
      <c r="AL62" s="174"/>
      <c r="AM62" s="174"/>
      <c r="AN62" s="174"/>
      <c r="AO62" s="174"/>
      <c r="AP62" s="174">
        <f t="shared" si="15"/>
        <v>-2426</v>
      </c>
      <c r="AT62" s="31"/>
    </row>
    <row r="63" spans="1:46" x14ac:dyDescent="0.35">
      <c r="A63" s="13" t="s">
        <v>205</v>
      </c>
      <c r="B63" s="237"/>
      <c r="C63" s="292"/>
      <c r="D63" s="30"/>
      <c r="E63" s="174">
        <v>-60</v>
      </c>
      <c r="F63" s="237">
        <v>0</v>
      </c>
      <c r="G63" s="295">
        <v>0</v>
      </c>
      <c r="H63" s="30">
        <v>0</v>
      </c>
      <c r="I63" s="174">
        <v>0</v>
      </c>
      <c r="J63" s="237">
        <v>0</v>
      </c>
      <c r="K63" s="295">
        <v>0</v>
      </c>
      <c r="L63" s="30">
        <v>0</v>
      </c>
      <c r="M63" s="174">
        <v>0</v>
      </c>
      <c r="N63" s="237">
        <v>0</v>
      </c>
      <c r="O63" s="295">
        <v>0</v>
      </c>
      <c r="P63" s="30">
        <v>0</v>
      </c>
      <c r="Q63" s="174">
        <v>0</v>
      </c>
      <c r="R63" s="237">
        <v>0</v>
      </c>
      <c r="S63" s="295">
        <v>0</v>
      </c>
      <c r="T63" s="30">
        <v>0</v>
      </c>
      <c r="U63" s="174">
        <v>0</v>
      </c>
      <c r="V63" s="237">
        <v>0</v>
      </c>
      <c r="W63" s="295">
        <v>0</v>
      </c>
      <c r="X63" s="30">
        <v>0</v>
      </c>
      <c r="Y63" s="213">
        <v>0</v>
      </c>
      <c r="Z63" s="237">
        <v>0</v>
      </c>
      <c r="AA63" s="295">
        <v>0</v>
      </c>
      <c r="AB63" s="30">
        <v>0</v>
      </c>
      <c r="AC63" s="213">
        <v>0</v>
      </c>
      <c r="AD63" s="237">
        <v>0</v>
      </c>
      <c r="AE63" s="295">
        <v>0</v>
      </c>
      <c r="AF63" s="30">
        <v>0</v>
      </c>
      <c r="AG63" s="213">
        <v>0</v>
      </c>
      <c r="AI63" s="174">
        <v>-60</v>
      </c>
      <c r="AJ63" s="174">
        <f t="shared" si="11"/>
        <v>0</v>
      </c>
      <c r="AK63" s="174">
        <f t="shared" si="12"/>
        <v>0</v>
      </c>
      <c r="AL63" s="174">
        <f t="shared" si="13"/>
        <v>0</v>
      </c>
      <c r="AM63" s="174">
        <f t="shared" si="14"/>
        <v>0</v>
      </c>
      <c r="AN63" s="174">
        <v>0</v>
      </c>
      <c r="AO63" s="174">
        <v>0</v>
      </c>
      <c r="AP63" s="174">
        <f t="shared" si="15"/>
        <v>0</v>
      </c>
      <c r="AT63" s="31"/>
    </row>
    <row r="64" spans="1:46" s="79" customFormat="1" ht="13.7" customHeight="1" x14ac:dyDescent="0.35">
      <c r="A64" s="323" t="s">
        <v>206</v>
      </c>
      <c r="B64" s="238">
        <v>0</v>
      </c>
      <c r="C64" s="293" t="s">
        <v>91</v>
      </c>
      <c r="D64" s="80">
        <v>-54</v>
      </c>
      <c r="E64" s="282">
        <v>0</v>
      </c>
      <c r="F64" s="238">
        <v>0</v>
      </c>
      <c r="G64" s="295">
        <v>0</v>
      </c>
      <c r="H64" s="30">
        <v>0</v>
      </c>
      <c r="I64" s="282">
        <v>0</v>
      </c>
      <c r="J64" s="237">
        <v>0</v>
      </c>
      <c r="K64" s="295">
        <v>0</v>
      </c>
      <c r="L64" s="30">
        <v>-34</v>
      </c>
      <c r="M64" s="282">
        <v>-1</v>
      </c>
      <c r="N64" s="237">
        <v>0</v>
      </c>
      <c r="O64" s="295">
        <v>0</v>
      </c>
      <c r="P64" s="30">
        <v>0</v>
      </c>
      <c r="Q64" s="282">
        <v>0</v>
      </c>
      <c r="R64" s="237">
        <v>0</v>
      </c>
      <c r="S64" s="295">
        <v>0</v>
      </c>
      <c r="T64" s="30">
        <v>0</v>
      </c>
      <c r="U64" s="282">
        <v>0</v>
      </c>
      <c r="V64" s="237">
        <v>0</v>
      </c>
      <c r="W64" s="295">
        <v>0</v>
      </c>
      <c r="X64" s="30">
        <v>0</v>
      </c>
      <c r="Y64" s="282">
        <v>0</v>
      </c>
      <c r="Z64" s="237">
        <v>0</v>
      </c>
      <c r="AA64" s="295">
        <v>0</v>
      </c>
      <c r="AB64" s="30">
        <v>0</v>
      </c>
      <c r="AC64" s="282">
        <v>0</v>
      </c>
      <c r="AD64" s="237">
        <v>0</v>
      </c>
      <c r="AE64" s="295">
        <v>0</v>
      </c>
      <c r="AF64" s="30">
        <v>0</v>
      </c>
      <c r="AG64" s="282">
        <v>0</v>
      </c>
      <c r="AH64" s="346"/>
      <c r="AI64" s="526">
        <v>-54</v>
      </c>
      <c r="AJ64" s="526">
        <f t="shared" si="11"/>
        <v>0</v>
      </c>
      <c r="AK64" s="526">
        <f t="shared" si="12"/>
        <v>-35</v>
      </c>
      <c r="AL64" s="526">
        <f t="shared" si="13"/>
        <v>0</v>
      </c>
      <c r="AM64" s="526">
        <f t="shared" si="14"/>
        <v>0</v>
      </c>
      <c r="AN64" s="526">
        <v>0</v>
      </c>
      <c r="AO64" s="526">
        <v>0</v>
      </c>
      <c r="AP64" s="526">
        <f t="shared" si="15"/>
        <v>0</v>
      </c>
      <c r="AT64" s="31"/>
    </row>
    <row r="65" spans="1:46" s="79" customFormat="1" ht="13.7" customHeight="1" x14ac:dyDescent="0.35">
      <c r="A65" s="13" t="s">
        <v>207</v>
      </c>
      <c r="B65" s="238"/>
      <c r="C65" s="293"/>
      <c r="D65" s="80"/>
      <c r="E65" s="282">
        <v>-74</v>
      </c>
      <c r="F65" s="238">
        <v>-73</v>
      </c>
      <c r="G65" s="293">
        <v>-71</v>
      </c>
      <c r="H65" s="80">
        <v>-70</v>
      </c>
      <c r="I65" s="282">
        <v>-105</v>
      </c>
      <c r="J65" s="238">
        <v>-105</v>
      </c>
      <c r="K65" s="293">
        <v>-105</v>
      </c>
      <c r="L65" s="80">
        <v>-105</v>
      </c>
      <c r="M65" s="282">
        <v>-105</v>
      </c>
      <c r="N65" s="238">
        <v>-105</v>
      </c>
      <c r="O65" s="293">
        <v>-155</v>
      </c>
      <c r="P65" s="80">
        <v>-152</v>
      </c>
      <c r="Q65" s="282">
        <v>-150</v>
      </c>
      <c r="R65" s="238">
        <v>-149</v>
      </c>
      <c r="S65" s="293">
        <v>-222</v>
      </c>
      <c r="T65" s="80">
        <v>-223</v>
      </c>
      <c r="U65" s="282">
        <v>-221</v>
      </c>
      <c r="V65" s="238">
        <v>-219</v>
      </c>
      <c r="W65" s="293">
        <v>-264</v>
      </c>
      <c r="X65" s="80">
        <v>-262</v>
      </c>
      <c r="Y65" s="282">
        <v>-261</v>
      </c>
      <c r="Z65" s="238">
        <v>-261</v>
      </c>
      <c r="AA65" s="293">
        <v>-260</v>
      </c>
      <c r="AB65" s="80">
        <v>-259</v>
      </c>
      <c r="AC65" s="282">
        <v>-258</v>
      </c>
      <c r="AD65" s="238">
        <v>-258</v>
      </c>
      <c r="AE65" s="293">
        <v>-257</v>
      </c>
      <c r="AF65" s="80">
        <v>-256</v>
      </c>
      <c r="AG65" s="282">
        <v>-254</v>
      </c>
      <c r="AH65" s="346"/>
      <c r="AI65" s="526">
        <v>-74</v>
      </c>
      <c r="AJ65" s="526">
        <f t="shared" si="11"/>
        <v>-319</v>
      </c>
      <c r="AK65" s="526">
        <f t="shared" si="12"/>
        <v>-420</v>
      </c>
      <c r="AL65" s="526">
        <f t="shared" si="13"/>
        <v>-562</v>
      </c>
      <c r="AM65" s="526">
        <f t="shared" si="14"/>
        <v>-815</v>
      </c>
      <c r="AN65" s="526">
        <v>-1006</v>
      </c>
      <c r="AO65" s="526">
        <v>-1038</v>
      </c>
      <c r="AP65" s="526">
        <f t="shared" si="15"/>
        <v>-1025</v>
      </c>
      <c r="AQ65" s="525"/>
      <c r="AT65" s="31"/>
    </row>
    <row r="66" spans="1:46" s="79" customFormat="1" ht="13.7" hidden="1" customHeight="1" x14ac:dyDescent="0.35">
      <c r="A66" s="13" t="s">
        <v>208</v>
      </c>
      <c r="B66" s="237">
        <v>0</v>
      </c>
      <c r="C66" s="208" t="s">
        <v>91</v>
      </c>
      <c r="D66" s="30">
        <v>0</v>
      </c>
      <c r="E66" s="213">
        <v>0</v>
      </c>
      <c r="F66" s="237">
        <v>0</v>
      </c>
      <c r="G66" s="295">
        <v>0</v>
      </c>
      <c r="H66" s="30">
        <v>0</v>
      </c>
      <c r="I66" s="213">
        <v>0</v>
      </c>
      <c r="J66" s="237">
        <v>0</v>
      </c>
      <c r="K66" s="295">
        <v>0</v>
      </c>
      <c r="L66" s="30">
        <v>0</v>
      </c>
      <c r="M66" s="213">
        <v>0</v>
      </c>
      <c r="N66" s="237">
        <v>0</v>
      </c>
      <c r="O66" s="295">
        <v>0</v>
      </c>
      <c r="P66" s="30">
        <v>0</v>
      </c>
      <c r="Q66" s="213">
        <v>0</v>
      </c>
      <c r="R66" s="237">
        <v>0</v>
      </c>
      <c r="S66" s="295">
        <v>0</v>
      </c>
      <c r="T66" s="30">
        <v>0</v>
      </c>
      <c r="U66" s="213">
        <v>0</v>
      </c>
      <c r="V66" s="237">
        <v>0</v>
      </c>
      <c r="W66" s="295"/>
      <c r="X66" s="30"/>
      <c r="Y66" s="213"/>
      <c r="Z66" s="237"/>
      <c r="AA66" s="295"/>
      <c r="AB66" s="30"/>
      <c r="AC66" s="213"/>
      <c r="AD66" s="237"/>
      <c r="AE66" s="295"/>
      <c r="AF66" s="30"/>
      <c r="AG66" s="213">
        <v>0</v>
      </c>
      <c r="AH66" s="346"/>
      <c r="AI66" s="174" t="s">
        <v>91</v>
      </c>
      <c r="AJ66" s="174">
        <f t="shared" si="11"/>
        <v>0</v>
      </c>
      <c r="AK66" s="174">
        <f t="shared" si="12"/>
        <v>0</v>
      </c>
      <c r="AL66" s="174">
        <f t="shared" si="13"/>
        <v>0</v>
      </c>
      <c r="AM66" s="174">
        <f t="shared" si="14"/>
        <v>0</v>
      </c>
      <c r="AN66" s="174">
        <v>0</v>
      </c>
      <c r="AO66" s="174">
        <v>0</v>
      </c>
      <c r="AP66" s="174">
        <f t="shared" si="15"/>
        <v>0</v>
      </c>
      <c r="AT66" s="31"/>
    </row>
    <row r="67" spans="1:46" hidden="1" x14ac:dyDescent="0.35">
      <c r="A67" s="13" t="s">
        <v>209</v>
      </c>
      <c r="B67" s="237">
        <v>0</v>
      </c>
      <c r="C67" s="208" t="s">
        <v>91</v>
      </c>
      <c r="D67" s="30">
        <v>0</v>
      </c>
      <c r="E67" s="213">
        <v>0</v>
      </c>
      <c r="F67" s="237">
        <v>0</v>
      </c>
      <c r="G67" s="295">
        <v>0</v>
      </c>
      <c r="H67" s="30">
        <v>0</v>
      </c>
      <c r="I67" s="213">
        <v>0</v>
      </c>
      <c r="J67" s="237">
        <v>0</v>
      </c>
      <c r="K67" s="295">
        <v>0</v>
      </c>
      <c r="L67" s="30">
        <v>0</v>
      </c>
      <c r="M67" s="213">
        <v>0</v>
      </c>
      <c r="N67" s="237">
        <v>0</v>
      </c>
      <c r="O67" s="295">
        <v>0</v>
      </c>
      <c r="P67" s="30">
        <v>0</v>
      </c>
      <c r="Q67" s="213">
        <v>0</v>
      </c>
      <c r="R67" s="237">
        <v>0</v>
      </c>
      <c r="S67" s="295">
        <v>0</v>
      </c>
      <c r="T67" s="30">
        <v>0</v>
      </c>
      <c r="U67" s="213">
        <v>0</v>
      </c>
      <c r="V67" s="237">
        <v>0</v>
      </c>
      <c r="W67" s="295"/>
      <c r="X67" s="30"/>
      <c r="Y67" s="213"/>
      <c r="Z67" s="237"/>
      <c r="AA67" s="295"/>
      <c r="AB67" s="30"/>
      <c r="AC67" s="213"/>
      <c r="AD67" s="237"/>
      <c r="AE67" s="295"/>
      <c r="AF67" s="30"/>
      <c r="AG67" s="213">
        <v>0</v>
      </c>
      <c r="AI67" s="174" t="s">
        <v>91</v>
      </c>
      <c r="AJ67" s="174">
        <f t="shared" si="11"/>
        <v>0</v>
      </c>
      <c r="AK67" s="174">
        <f t="shared" si="12"/>
        <v>0</v>
      </c>
      <c r="AL67" s="174">
        <f t="shared" si="13"/>
        <v>0</v>
      </c>
      <c r="AM67" s="174">
        <f t="shared" si="14"/>
        <v>0</v>
      </c>
      <c r="AN67" s="174">
        <v>0</v>
      </c>
      <c r="AO67" s="174">
        <v>0</v>
      </c>
      <c r="AP67" s="174">
        <f t="shared" si="15"/>
        <v>0</v>
      </c>
      <c r="AT67" s="31"/>
    </row>
    <row r="68" spans="1:46" x14ac:dyDescent="0.35">
      <c r="A68" s="13" t="s">
        <v>210</v>
      </c>
      <c r="B68" s="221">
        <v>20</v>
      </c>
      <c r="C68" s="208">
        <v>10</v>
      </c>
      <c r="D68" s="52">
        <v>6</v>
      </c>
      <c r="E68" s="213">
        <v>3</v>
      </c>
      <c r="F68" s="221">
        <v>32</v>
      </c>
      <c r="G68" s="208">
        <v>5</v>
      </c>
      <c r="H68" s="52">
        <v>33</v>
      </c>
      <c r="I68" s="213">
        <v>14</v>
      </c>
      <c r="J68" s="221">
        <v>29</v>
      </c>
      <c r="K68" s="208">
        <v>8</v>
      </c>
      <c r="L68" s="52">
        <v>27</v>
      </c>
      <c r="M68" s="213">
        <v>8</v>
      </c>
      <c r="N68" s="221">
        <v>31</v>
      </c>
      <c r="O68" s="295">
        <v>0</v>
      </c>
      <c r="P68" s="52">
        <v>29</v>
      </c>
      <c r="Q68" s="213">
        <v>2</v>
      </c>
      <c r="R68" s="221">
        <v>28</v>
      </c>
      <c r="S68" s="295">
        <v>0</v>
      </c>
      <c r="T68" s="52">
        <v>30</v>
      </c>
      <c r="U68" s="213">
        <v>1</v>
      </c>
      <c r="V68" s="221">
        <v>33</v>
      </c>
      <c r="W68" s="295">
        <v>1</v>
      </c>
      <c r="X68" s="52">
        <v>36</v>
      </c>
      <c r="Y68" s="213">
        <v>1</v>
      </c>
      <c r="Z68" s="221">
        <v>37</v>
      </c>
      <c r="AA68" s="295">
        <v>3</v>
      </c>
      <c r="AB68" s="52">
        <v>39</v>
      </c>
      <c r="AC68" s="213">
        <v>3</v>
      </c>
      <c r="AD68" s="221">
        <v>37</v>
      </c>
      <c r="AE68" s="295">
        <v>2</v>
      </c>
      <c r="AF68" s="52">
        <v>38</v>
      </c>
      <c r="AG68" s="213">
        <v>6</v>
      </c>
      <c r="AI68" s="174">
        <v>39</v>
      </c>
      <c r="AJ68" s="174">
        <f t="shared" si="11"/>
        <v>84</v>
      </c>
      <c r="AK68" s="174">
        <f t="shared" si="12"/>
        <v>72</v>
      </c>
      <c r="AL68" s="174">
        <f t="shared" si="13"/>
        <v>62</v>
      </c>
      <c r="AM68" s="174">
        <f t="shared" si="14"/>
        <v>59</v>
      </c>
      <c r="AN68" s="174">
        <v>71</v>
      </c>
      <c r="AO68" s="174">
        <v>82</v>
      </c>
      <c r="AP68" s="174">
        <f t="shared" si="15"/>
        <v>83</v>
      </c>
      <c r="AQ68" s="31"/>
      <c r="AT68" s="31"/>
    </row>
    <row r="69" spans="1:46" x14ac:dyDescent="0.35">
      <c r="A69" s="13" t="s">
        <v>211</v>
      </c>
      <c r="B69" s="221">
        <v>-30</v>
      </c>
      <c r="C69" s="208">
        <v>-2</v>
      </c>
      <c r="D69" s="52">
        <v>-4550</v>
      </c>
      <c r="E69" s="213">
        <v>-424</v>
      </c>
      <c r="F69" s="221">
        <v>-715</v>
      </c>
      <c r="G69" s="208">
        <v>-645</v>
      </c>
      <c r="H69" s="52">
        <v>-9</v>
      </c>
      <c r="I69" s="213">
        <v>-74</v>
      </c>
      <c r="J69" s="221">
        <v>-355</v>
      </c>
      <c r="K69" s="208">
        <v>-3</v>
      </c>
      <c r="L69" s="52">
        <v>-12</v>
      </c>
      <c r="M69" s="213">
        <v>-257</v>
      </c>
      <c r="N69" s="221">
        <v>-905</v>
      </c>
      <c r="O69" s="208">
        <v>-1203</v>
      </c>
      <c r="P69" s="52">
        <v>-1157</v>
      </c>
      <c r="Q69" s="213">
        <v>-750</v>
      </c>
      <c r="R69" s="221">
        <v>-552</v>
      </c>
      <c r="S69" s="208">
        <v>-2</v>
      </c>
      <c r="T69" s="52">
        <v>-366</v>
      </c>
      <c r="U69" s="213">
        <v>-506</v>
      </c>
      <c r="V69" s="221">
        <v>-11</v>
      </c>
      <c r="W69" s="208">
        <v>-302</v>
      </c>
      <c r="X69" s="52">
        <v>-306</v>
      </c>
      <c r="Y69" s="213">
        <v>-434</v>
      </c>
      <c r="Z69" s="221">
        <v>-303</v>
      </c>
      <c r="AA69" s="208">
        <v>-310</v>
      </c>
      <c r="AB69" s="52">
        <v>-305</v>
      </c>
      <c r="AC69" s="213">
        <v>-455</v>
      </c>
      <c r="AD69" s="221">
        <v>-303</v>
      </c>
      <c r="AE69" s="208">
        <v>-204</v>
      </c>
      <c r="AF69" s="52">
        <v>-54</v>
      </c>
      <c r="AG69" s="213">
        <v>-338</v>
      </c>
      <c r="AI69" s="174">
        <v>-5006</v>
      </c>
      <c r="AJ69" s="174">
        <f t="shared" si="11"/>
        <v>-1443</v>
      </c>
      <c r="AK69" s="174">
        <f t="shared" si="12"/>
        <v>-627</v>
      </c>
      <c r="AL69" s="174">
        <f t="shared" si="13"/>
        <v>-4015</v>
      </c>
      <c r="AM69" s="174">
        <f t="shared" si="14"/>
        <v>-1426</v>
      </c>
      <c r="AN69" s="174">
        <v>-1053</v>
      </c>
      <c r="AO69" s="174">
        <v>-1373</v>
      </c>
      <c r="AP69" s="174">
        <f t="shared" si="15"/>
        <v>-899</v>
      </c>
      <c r="AT69" s="31"/>
    </row>
    <row r="70" spans="1:46" x14ac:dyDescent="0.35">
      <c r="A70" s="13" t="s">
        <v>212</v>
      </c>
      <c r="B70" s="221"/>
      <c r="C70" s="208"/>
      <c r="D70" s="52"/>
      <c r="E70" s="213">
        <v>-142</v>
      </c>
      <c r="F70" s="237">
        <v>0</v>
      </c>
      <c r="G70" s="295">
        <v>0</v>
      </c>
      <c r="H70" s="30">
        <v>0</v>
      </c>
      <c r="I70" s="213">
        <v>-128</v>
      </c>
      <c r="J70" s="237">
        <v>0</v>
      </c>
      <c r="K70" s="295">
        <v>0</v>
      </c>
      <c r="L70" s="30">
        <v>0</v>
      </c>
      <c r="M70" s="213">
        <v>0</v>
      </c>
      <c r="N70" s="237">
        <v>0</v>
      </c>
      <c r="O70" s="295">
        <v>0</v>
      </c>
      <c r="P70" s="30">
        <v>0</v>
      </c>
      <c r="Q70" s="213">
        <v>0</v>
      </c>
      <c r="R70" s="237">
        <v>0</v>
      </c>
      <c r="S70" s="295">
        <v>0</v>
      </c>
      <c r="T70" s="30">
        <v>0</v>
      </c>
      <c r="U70" s="213">
        <v>0</v>
      </c>
      <c r="V70" s="237">
        <v>0</v>
      </c>
      <c r="W70" s="295">
        <v>0</v>
      </c>
      <c r="X70" s="30">
        <v>0</v>
      </c>
      <c r="Y70" s="213">
        <v>0</v>
      </c>
      <c r="Z70" s="237">
        <v>0</v>
      </c>
      <c r="AA70" s="295">
        <v>0</v>
      </c>
      <c r="AB70" s="30">
        <v>0</v>
      </c>
      <c r="AC70" s="213">
        <v>0</v>
      </c>
      <c r="AD70" s="237">
        <v>0</v>
      </c>
      <c r="AE70" s="295">
        <v>0</v>
      </c>
      <c r="AF70" s="30"/>
      <c r="AG70" s="213">
        <v>0</v>
      </c>
      <c r="AI70" s="174">
        <v>-142</v>
      </c>
      <c r="AJ70" s="174">
        <f t="shared" si="11"/>
        <v>-128</v>
      </c>
      <c r="AK70" s="174">
        <f t="shared" si="12"/>
        <v>0</v>
      </c>
      <c r="AL70" s="174">
        <f t="shared" si="13"/>
        <v>0</v>
      </c>
      <c r="AM70" s="174">
        <f t="shared" si="14"/>
        <v>0</v>
      </c>
      <c r="AN70" s="174">
        <v>0</v>
      </c>
      <c r="AO70" s="174">
        <v>0</v>
      </c>
      <c r="AP70" s="174">
        <f t="shared" si="15"/>
        <v>0</v>
      </c>
      <c r="AT70" s="31"/>
    </row>
    <row r="71" spans="1:46" ht="13.7" customHeight="1" x14ac:dyDescent="0.35">
      <c r="A71" s="257" t="s">
        <v>213</v>
      </c>
      <c r="B71" s="218"/>
      <c r="C71" s="91"/>
      <c r="D71" s="30"/>
      <c r="E71" s="213"/>
      <c r="F71" s="237"/>
      <c r="G71" s="268"/>
      <c r="H71" s="30"/>
      <c r="I71" s="213"/>
      <c r="J71" s="237"/>
      <c r="K71" s="268"/>
      <c r="L71" s="30"/>
      <c r="M71" s="213">
        <v>-1</v>
      </c>
      <c r="N71" s="237">
        <v>0</v>
      </c>
      <c r="O71" s="268">
        <v>-1</v>
      </c>
      <c r="P71" s="30">
        <v>0</v>
      </c>
      <c r="Q71" s="213">
        <v>-1</v>
      </c>
      <c r="R71" s="237">
        <v>0</v>
      </c>
      <c r="S71" s="268">
        <v>-1</v>
      </c>
      <c r="T71" s="30">
        <v>0</v>
      </c>
      <c r="U71" s="213">
        <v>-1</v>
      </c>
      <c r="V71" s="237">
        <v>-1</v>
      </c>
      <c r="W71" s="268">
        <v>0</v>
      </c>
      <c r="X71" s="30">
        <v>-1</v>
      </c>
      <c r="Y71" s="213">
        <v>0</v>
      </c>
      <c r="Z71" s="237">
        <v>-1</v>
      </c>
      <c r="AA71" s="268">
        <v>0</v>
      </c>
      <c r="AB71" s="30">
        <v>-1</v>
      </c>
      <c r="AC71" s="213">
        <v>0</v>
      </c>
      <c r="AD71" s="237">
        <v>-1</v>
      </c>
      <c r="AE71" s="268">
        <v>0</v>
      </c>
      <c r="AF71" s="30">
        <v>-1</v>
      </c>
      <c r="AG71" s="213">
        <v>-11</v>
      </c>
      <c r="AI71" s="174"/>
      <c r="AJ71" s="174"/>
      <c r="AK71" s="174">
        <f t="shared" si="12"/>
        <v>-1</v>
      </c>
      <c r="AL71" s="174">
        <f t="shared" si="13"/>
        <v>-2</v>
      </c>
      <c r="AM71" s="174">
        <f t="shared" si="14"/>
        <v>-2</v>
      </c>
      <c r="AN71" s="174">
        <v>-2</v>
      </c>
      <c r="AO71" s="174">
        <v>-2</v>
      </c>
      <c r="AP71" s="174">
        <f t="shared" si="15"/>
        <v>-13</v>
      </c>
      <c r="AT71" s="31"/>
    </row>
    <row r="72" spans="1:46" ht="13.15" x14ac:dyDescent="0.4">
      <c r="A72" s="26" t="s">
        <v>214</v>
      </c>
      <c r="B72" s="222">
        <v>-10</v>
      </c>
      <c r="C72" s="204">
        <v>-1266</v>
      </c>
      <c r="D72" s="71">
        <v>-3609</v>
      </c>
      <c r="E72" s="317">
        <v>288</v>
      </c>
      <c r="F72" s="222">
        <v>-756</v>
      </c>
      <c r="G72" s="204">
        <v>463</v>
      </c>
      <c r="H72" s="71">
        <v>-95</v>
      </c>
      <c r="I72" s="317">
        <v>-1443</v>
      </c>
      <c r="J72" s="222">
        <v>-431</v>
      </c>
      <c r="K72" s="204">
        <v>1885</v>
      </c>
      <c r="L72" s="71">
        <v>-124</v>
      </c>
      <c r="M72" s="317">
        <v>-2165</v>
      </c>
      <c r="N72" s="222">
        <v>-979</v>
      </c>
      <c r="O72" s="204">
        <v>619</v>
      </c>
      <c r="P72" s="71">
        <v>-1280</v>
      </c>
      <c r="Q72" s="317">
        <v>55</v>
      </c>
      <c r="R72" s="222">
        <v>-674</v>
      </c>
      <c r="S72" s="204">
        <v>342</v>
      </c>
      <c r="T72" s="71">
        <v>-559</v>
      </c>
      <c r="U72" s="317">
        <v>-728</v>
      </c>
      <c r="V72" s="222">
        <v>-198</v>
      </c>
      <c r="W72" s="204">
        <v>-565</v>
      </c>
      <c r="X72" s="71">
        <v>-533</v>
      </c>
      <c r="Y72" s="317">
        <v>-694</v>
      </c>
      <c r="Z72" s="222">
        <v>-1528</v>
      </c>
      <c r="AA72" s="204">
        <v>-567</v>
      </c>
      <c r="AB72" s="71">
        <v>-526</v>
      </c>
      <c r="AC72" s="317">
        <v>-41</v>
      </c>
      <c r="AD72" s="222">
        <v>345</v>
      </c>
      <c r="AE72" s="204">
        <v>-709</v>
      </c>
      <c r="AF72" s="71">
        <v>482</v>
      </c>
      <c r="AG72" s="317">
        <v>-612</v>
      </c>
      <c r="AI72" s="314">
        <v>-4597</v>
      </c>
      <c r="AJ72" s="314">
        <f>SUM(F72:I72)</f>
        <v>-1831</v>
      </c>
      <c r="AK72" s="314">
        <f t="shared" si="12"/>
        <v>-835</v>
      </c>
      <c r="AL72" s="314">
        <f t="shared" si="13"/>
        <v>-1585</v>
      </c>
      <c r="AM72" s="314">
        <f t="shared" si="14"/>
        <v>-1619</v>
      </c>
      <c r="AN72" s="314">
        <v>-1990</v>
      </c>
      <c r="AO72" s="314">
        <v>-2662</v>
      </c>
      <c r="AP72" s="314">
        <f t="shared" si="15"/>
        <v>-494</v>
      </c>
      <c r="AT72" s="31"/>
    </row>
    <row r="73" spans="1:46" ht="10.15" customHeight="1" x14ac:dyDescent="0.35">
      <c r="A73" s="13"/>
      <c r="B73" s="218"/>
      <c r="C73" s="91"/>
      <c r="D73" s="34"/>
      <c r="E73" s="105"/>
      <c r="F73" s="218"/>
      <c r="G73" s="91"/>
      <c r="H73" s="34"/>
      <c r="I73" s="105"/>
      <c r="J73" s="218"/>
      <c r="K73" s="91"/>
      <c r="L73" s="34"/>
      <c r="M73" s="105"/>
      <c r="N73" s="218"/>
      <c r="O73" s="91"/>
      <c r="P73" s="34"/>
      <c r="Q73" s="105"/>
      <c r="R73" s="218"/>
      <c r="S73" s="91"/>
      <c r="T73" s="34"/>
      <c r="U73" s="105"/>
      <c r="V73" s="218"/>
      <c r="W73" s="91"/>
      <c r="X73" s="34"/>
      <c r="Y73" s="105"/>
      <c r="Z73" s="218"/>
      <c r="AA73" s="91"/>
      <c r="AB73" s="34"/>
      <c r="AC73" s="105"/>
      <c r="AD73" s="218"/>
      <c r="AE73" s="91"/>
      <c r="AF73" s="34"/>
      <c r="AG73" s="105"/>
      <c r="AI73" s="137"/>
      <c r="AJ73" s="137"/>
      <c r="AK73" s="137"/>
      <c r="AL73" s="137"/>
      <c r="AM73" s="137"/>
      <c r="AN73" s="137"/>
      <c r="AO73" s="137"/>
      <c r="AP73" s="137"/>
      <c r="AT73" s="31"/>
    </row>
    <row r="74" spans="1:46" ht="13.15" x14ac:dyDescent="0.4">
      <c r="A74" s="26" t="s">
        <v>215</v>
      </c>
      <c r="B74" s="222">
        <v>436</v>
      </c>
      <c r="C74" s="204">
        <v>-995</v>
      </c>
      <c r="D74" s="71">
        <v>-1036</v>
      </c>
      <c r="E74" s="317">
        <v>845</v>
      </c>
      <c r="F74" s="222">
        <v>-596</v>
      </c>
      <c r="G74" s="204">
        <v>836</v>
      </c>
      <c r="H74" s="71">
        <v>513</v>
      </c>
      <c r="I74" s="317">
        <v>-2495</v>
      </c>
      <c r="J74" s="222">
        <v>44</v>
      </c>
      <c r="K74" s="204">
        <v>2186</v>
      </c>
      <c r="L74" s="71">
        <v>298</v>
      </c>
      <c r="M74" s="317">
        <v>-1299</v>
      </c>
      <c r="N74" s="222">
        <v>-428</v>
      </c>
      <c r="O74" s="204">
        <v>1066</v>
      </c>
      <c r="P74" s="71">
        <v>-604</v>
      </c>
      <c r="Q74" s="317">
        <v>524</v>
      </c>
      <c r="R74" s="222">
        <v>-147</v>
      </c>
      <c r="S74" s="204">
        <v>873</v>
      </c>
      <c r="T74" s="71">
        <v>225</v>
      </c>
      <c r="U74" s="317">
        <v>76</v>
      </c>
      <c r="V74" s="222">
        <v>83</v>
      </c>
      <c r="W74" s="204">
        <v>-64</v>
      </c>
      <c r="X74" s="71">
        <v>182</v>
      </c>
      <c r="Y74" s="317">
        <v>-186</v>
      </c>
      <c r="Z74" s="222">
        <v>-951</v>
      </c>
      <c r="AA74" s="204">
        <v>-45</v>
      </c>
      <c r="AB74" s="71">
        <v>-118</v>
      </c>
      <c r="AC74" s="317">
        <v>548</v>
      </c>
      <c r="AD74" s="222">
        <v>694</v>
      </c>
      <c r="AE74" s="204">
        <v>-822</v>
      </c>
      <c r="AF74" s="71">
        <v>284</v>
      </c>
      <c r="AG74" s="317">
        <v>-187</v>
      </c>
      <c r="AI74" s="314">
        <v>-750</v>
      </c>
      <c r="AJ74" s="314">
        <f>SUM(F74:I74)</f>
        <v>-1742</v>
      </c>
      <c r="AK74" s="314">
        <f>SUM(J74:M74)</f>
        <v>1229</v>
      </c>
      <c r="AL74" s="314">
        <f>N74+O74+P74+Q74</f>
        <v>558</v>
      </c>
      <c r="AM74" s="314">
        <f t="shared" si="14"/>
        <v>1027</v>
      </c>
      <c r="AN74" s="314">
        <v>15</v>
      </c>
      <c r="AO74" s="314">
        <v>-566</v>
      </c>
      <c r="AP74" s="314">
        <f>SUM(AD74:AG74)</f>
        <v>-31</v>
      </c>
      <c r="AT74" s="31"/>
    </row>
    <row r="75" spans="1:46" ht="13.7" hidden="1" customHeight="1" x14ac:dyDescent="0.35">
      <c r="A75" s="14" t="s">
        <v>216</v>
      </c>
      <c r="B75" s="218"/>
      <c r="C75" s="91"/>
      <c r="D75" s="34"/>
      <c r="E75" s="105"/>
      <c r="F75" s="218"/>
      <c r="G75" s="91"/>
      <c r="H75" s="34"/>
      <c r="I75" s="105"/>
      <c r="J75" s="218"/>
      <c r="K75" s="91"/>
      <c r="L75" s="34"/>
      <c r="M75" s="105"/>
      <c r="N75" s="218"/>
      <c r="O75" s="91"/>
      <c r="P75" s="34"/>
      <c r="Q75" s="105"/>
      <c r="R75" s="218"/>
      <c r="S75" s="91"/>
      <c r="T75" s="34"/>
      <c r="U75" s="105"/>
      <c r="V75" s="218"/>
      <c r="W75" s="91"/>
      <c r="X75" s="34"/>
      <c r="Y75" s="105"/>
      <c r="Z75" s="218"/>
      <c r="AA75" s="91"/>
      <c r="AB75" s="34"/>
      <c r="AC75" s="105"/>
      <c r="AD75" s="218"/>
      <c r="AE75" s="91"/>
      <c r="AF75" s="34"/>
      <c r="AG75" s="105"/>
      <c r="AI75" s="137"/>
      <c r="AJ75" s="137"/>
      <c r="AK75" s="137"/>
      <c r="AL75" s="137"/>
      <c r="AM75" s="137">
        <f t="shared" si="14"/>
        <v>0</v>
      </c>
      <c r="AN75" s="137">
        <v>0</v>
      </c>
      <c r="AO75" s="137">
        <v>0</v>
      </c>
      <c r="AP75" s="137"/>
      <c r="AT75" s="31"/>
    </row>
    <row r="76" spans="1:46" hidden="1" x14ac:dyDescent="0.35">
      <c r="A76" s="13" t="s">
        <v>172</v>
      </c>
      <c r="B76" s="168">
        <v>0</v>
      </c>
      <c r="C76" s="211" t="s">
        <v>91</v>
      </c>
      <c r="D76" s="211" t="s">
        <v>91</v>
      </c>
      <c r="E76" s="174" t="s">
        <v>91</v>
      </c>
      <c r="F76" s="168" t="s">
        <v>91</v>
      </c>
      <c r="G76" s="295">
        <v>0</v>
      </c>
      <c r="H76" s="295">
        <v>0</v>
      </c>
      <c r="I76" s="174">
        <v>0</v>
      </c>
      <c r="J76" s="168">
        <v>0</v>
      </c>
      <c r="K76" s="295">
        <v>0</v>
      </c>
      <c r="L76" s="295">
        <v>0</v>
      </c>
      <c r="M76" s="174">
        <v>0</v>
      </c>
      <c r="N76" s="168">
        <v>0</v>
      </c>
      <c r="O76" s="295">
        <v>0</v>
      </c>
      <c r="P76" s="295">
        <v>0</v>
      </c>
      <c r="Q76" s="174">
        <v>0</v>
      </c>
      <c r="R76" s="168">
        <v>0</v>
      </c>
      <c r="S76" s="295">
        <v>0</v>
      </c>
      <c r="T76" s="295">
        <v>0</v>
      </c>
      <c r="U76" s="174">
        <v>0</v>
      </c>
      <c r="V76" s="168">
        <v>0</v>
      </c>
      <c r="W76" s="295"/>
      <c r="X76" s="295"/>
      <c r="Y76" s="174"/>
      <c r="Z76" s="168"/>
      <c r="AA76" s="295"/>
      <c r="AB76" s="295"/>
      <c r="AC76" s="174"/>
      <c r="AD76" s="168"/>
      <c r="AE76" s="295"/>
      <c r="AF76" s="295"/>
      <c r="AG76" s="174"/>
      <c r="AI76" s="174" t="s">
        <v>91</v>
      </c>
      <c r="AJ76" s="174">
        <f>SUM(F76:I76)</f>
        <v>0</v>
      </c>
      <c r="AK76" s="174">
        <f t="shared" ref="AK76:AK80" si="16">SUM(J76:M76)</f>
        <v>0</v>
      </c>
      <c r="AL76" s="174">
        <f t="shared" ref="AL76:AL80" si="17">N76+O76+P76+Q76</f>
        <v>0</v>
      </c>
      <c r="AM76" s="174">
        <f t="shared" si="14"/>
        <v>0</v>
      </c>
      <c r="AN76" s="174">
        <v>0</v>
      </c>
      <c r="AO76" s="174">
        <v>0</v>
      </c>
      <c r="AP76" s="174"/>
      <c r="AT76" s="31"/>
    </row>
    <row r="77" spans="1:46" hidden="1" x14ac:dyDescent="0.35">
      <c r="A77" s="13" t="s">
        <v>217</v>
      </c>
      <c r="B77" s="168">
        <v>0</v>
      </c>
      <c r="C77" s="211" t="s">
        <v>91</v>
      </c>
      <c r="D77" s="211" t="s">
        <v>91</v>
      </c>
      <c r="E77" s="174" t="s">
        <v>91</v>
      </c>
      <c r="F77" s="168" t="s">
        <v>91</v>
      </c>
      <c r="G77" s="295">
        <v>0</v>
      </c>
      <c r="H77" s="295">
        <v>0</v>
      </c>
      <c r="I77" s="174">
        <v>0</v>
      </c>
      <c r="J77" s="168">
        <v>0</v>
      </c>
      <c r="K77" s="295">
        <v>0</v>
      </c>
      <c r="L77" s="295">
        <v>0</v>
      </c>
      <c r="M77" s="174">
        <v>0</v>
      </c>
      <c r="N77" s="168">
        <v>0</v>
      </c>
      <c r="O77" s="295">
        <v>0</v>
      </c>
      <c r="P77" s="295">
        <v>0</v>
      </c>
      <c r="Q77" s="174">
        <v>0</v>
      </c>
      <c r="R77" s="168">
        <v>0</v>
      </c>
      <c r="S77" s="295">
        <v>0</v>
      </c>
      <c r="T77" s="295">
        <v>0</v>
      </c>
      <c r="U77" s="174">
        <v>0</v>
      </c>
      <c r="V77" s="168">
        <v>0</v>
      </c>
      <c r="W77" s="295"/>
      <c r="X77" s="295"/>
      <c r="Y77" s="174"/>
      <c r="Z77" s="168"/>
      <c r="AA77" s="295"/>
      <c r="AB77" s="295"/>
      <c r="AC77" s="174"/>
      <c r="AD77" s="168"/>
      <c r="AE77" s="295"/>
      <c r="AF77" s="295"/>
      <c r="AG77" s="174"/>
      <c r="AI77" s="174" t="s">
        <v>91</v>
      </c>
      <c r="AJ77" s="174">
        <f>SUM(F77:I77)</f>
        <v>0</v>
      </c>
      <c r="AK77" s="174">
        <f t="shared" si="16"/>
        <v>0</v>
      </c>
      <c r="AL77" s="174">
        <f t="shared" si="17"/>
        <v>0</v>
      </c>
      <c r="AM77" s="174">
        <f t="shared" si="14"/>
        <v>0</v>
      </c>
      <c r="AN77" s="174">
        <v>0</v>
      </c>
      <c r="AO77" s="174">
        <v>0</v>
      </c>
      <c r="AP77" s="174"/>
      <c r="AT77" s="31"/>
    </row>
    <row r="78" spans="1:46" hidden="1" x14ac:dyDescent="0.35">
      <c r="A78" s="13" t="s">
        <v>214</v>
      </c>
      <c r="B78" s="168">
        <v>0</v>
      </c>
      <c r="C78" s="211" t="s">
        <v>91</v>
      </c>
      <c r="D78" s="211" t="s">
        <v>91</v>
      </c>
      <c r="E78" s="174" t="s">
        <v>91</v>
      </c>
      <c r="F78" s="168" t="s">
        <v>91</v>
      </c>
      <c r="G78" s="295">
        <v>0</v>
      </c>
      <c r="H78" s="295">
        <v>0</v>
      </c>
      <c r="I78" s="174">
        <v>0</v>
      </c>
      <c r="J78" s="168">
        <v>0</v>
      </c>
      <c r="K78" s="295">
        <v>0</v>
      </c>
      <c r="L78" s="295">
        <v>0</v>
      </c>
      <c r="M78" s="174">
        <v>0</v>
      </c>
      <c r="N78" s="168">
        <v>0</v>
      </c>
      <c r="O78" s="295">
        <v>0</v>
      </c>
      <c r="P78" s="295">
        <v>0</v>
      </c>
      <c r="Q78" s="174">
        <v>0</v>
      </c>
      <c r="R78" s="168">
        <v>0</v>
      </c>
      <c r="S78" s="295">
        <v>0</v>
      </c>
      <c r="T78" s="295">
        <v>0</v>
      </c>
      <c r="U78" s="174">
        <v>0</v>
      </c>
      <c r="V78" s="168">
        <v>0</v>
      </c>
      <c r="W78" s="295"/>
      <c r="X78" s="295"/>
      <c r="Y78" s="174"/>
      <c r="Z78" s="168"/>
      <c r="AA78" s="295"/>
      <c r="AB78" s="295"/>
      <c r="AC78" s="174"/>
      <c r="AD78" s="168"/>
      <c r="AE78" s="295"/>
      <c r="AF78" s="295"/>
      <c r="AG78" s="174"/>
      <c r="AI78" s="174" t="s">
        <v>91</v>
      </c>
      <c r="AJ78" s="174">
        <f>SUM(F78:I78)</f>
        <v>0</v>
      </c>
      <c r="AK78" s="174">
        <f t="shared" si="16"/>
        <v>0</v>
      </c>
      <c r="AL78" s="174">
        <f t="shared" si="17"/>
        <v>0</v>
      </c>
      <c r="AM78" s="174">
        <f t="shared" si="14"/>
        <v>0</v>
      </c>
      <c r="AN78" s="174">
        <v>0</v>
      </c>
      <c r="AO78" s="174">
        <v>0</v>
      </c>
      <c r="AP78" s="174"/>
      <c r="AT78" s="31"/>
    </row>
    <row r="79" spans="1:46" ht="13.15" hidden="1" x14ac:dyDescent="0.4">
      <c r="A79" s="26" t="s">
        <v>218</v>
      </c>
      <c r="B79" s="169">
        <v>0</v>
      </c>
      <c r="C79" s="212" t="s">
        <v>91</v>
      </c>
      <c r="D79" s="212" t="s">
        <v>91</v>
      </c>
      <c r="E79" s="318" t="s">
        <v>91</v>
      </c>
      <c r="F79" s="169" t="s">
        <v>91</v>
      </c>
      <c r="G79" s="295">
        <v>0</v>
      </c>
      <c r="H79" s="295">
        <v>0</v>
      </c>
      <c r="I79" s="318">
        <v>0</v>
      </c>
      <c r="J79" s="168">
        <v>0</v>
      </c>
      <c r="K79" s="295">
        <v>0</v>
      </c>
      <c r="L79" s="295">
        <v>0</v>
      </c>
      <c r="M79" s="318">
        <v>0</v>
      </c>
      <c r="N79" s="168">
        <v>0</v>
      </c>
      <c r="O79" s="295">
        <v>0</v>
      </c>
      <c r="P79" s="295">
        <v>0</v>
      </c>
      <c r="Q79" s="318">
        <v>0</v>
      </c>
      <c r="R79" s="168">
        <v>0</v>
      </c>
      <c r="S79" s="295">
        <v>0</v>
      </c>
      <c r="T79" s="295">
        <v>0</v>
      </c>
      <c r="U79" s="318">
        <v>0</v>
      </c>
      <c r="V79" s="168">
        <v>0</v>
      </c>
      <c r="W79" s="295"/>
      <c r="X79" s="295"/>
      <c r="Y79" s="318"/>
      <c r="Z79" s="168"/>
      <c r="AA79" s="295"/>
      <c r="AB79" s="295"/>
      <c r="AC79" s="318"/>
      <c r="AD79" s="168"/>
      <c r="AE79" s="295"/>
      <c r="AF79" s="295"/>
      <c r="AG79" s="318"/>
      <c r="AI79" s="527" t="s">
        <v>91</v>
      </c>
      <c r="AJ79" s="527">
        <f>SUM(F79:I79)</f>
        <v>0</v>
      </c>
      <c r="AK79" s="527">
        <f t="shared" si="16"/>
        <v>0</v>
      </c>
      <c r="AL79" s="527">
        <f t="shared" si="17"/>
        <v>0</v>
      </c>
      <c r="AM79" s="527">
        <f t="shared" si="14"/>
        <v>0</v>
      </c>
      <c r="AN79" s="527">
        <v>0</v>
      </c>
      <c r="AO79" s="527">
        <v>0</v>
      </c>
      <c r="AP79" s="527"/>
      <c r="AT79" s="31"/>
    </row>
    <row r="80" spans="1:46" ht="13.15" hidden="1" x14ac:dyDescent="0.4">
      <c r="A80" s="26" t="s">
        <v>219</v>
      </c>
      <c r="B80" s="222">
        <v>436</v>
      </c>
      <c r="C80" s="204">
        <v>-995</v>
      </c>
      <c r="D80" s="71">
        <v>-1036</v>
      </c>
      <c r="E80" s="317">
        <v>845</v>
      </c>
      <c r="F80" s="222">
        <v>-596</v>
      </c>
      <c r="G80" s="204">
        <v>836</v>
      </c>
      <c r="H80" s="71">
        <v>513</v>
      </c>
      <c r="I80" s="317">
        <v>-2495</v>
      </c>
      <c r="J80" s="222">
        <v>44</v>
      </c>
      <c r="K80" s="204">
        <v>2186</v>
      </c>
      <c r="L80" s="71">
        <v>298</v>
      </c>
      <c r="M80" s="317">
        <v>-1299</v>
      </c>
      <c r="N80" s="222">
        <v>-428</v>
      </c>
      <c r="O80" s="204">
        <v>1066</v>
      </c>
      <c r="P80" s="71">
        <v>-604</v>
      </c>
      <c r="Q80" s="317">
        <v>524</v>
      </c>
      <c r="R80" s="222">
        <v>-147</v>
      </c>
      <c r="S80" s="204">
        <v>873</v>
      </c>
      <c r="T80" s="71">
        <v>225</v>
      </c>
      <c r="U80" s="317">
        <v>76</v>
      </c>
      <c r="V80" s="222">
        <v>83</v>
      </c>
      <c r="W80" s="204"/>
      <c r="X80" s="71"/>
      <c r="Y80" s="317"/>
      <c r="Z80" s="222"/>
      <c r="AA80" s="204"/>
      <c r="AB80" s="71"/>
      <c r="AC80" s="317"/>
      <c r="AD80" s="222"/>
      <c r="AE80" s="204"/>
      <c r="AF80" s="71"/>
      <c r="AG80" s="317"/>
      <c r="AI80" s="314">
        <v>-750</v>
      </c>
      <c r="AJ80" s="314">
        <f>SUM(F80:I80)</f>
        <v>-1742</v>
      </c>
      <c r="AK80" s="314">
        <f t="shared" si="16"/>
        <v>1229</v>
      </c>
      <c r="AL80" s="314">
        <f t="shared" si="17"/>
        <v>558</v>
      </c>
      <c r="AM80" s="314">
        <f t="shared" si="14"/>
        <v>1027</v>
      </c>
      <c r="AN80" s="314">
        <v>83</v>
      </c>
      <c r="AO80" s="314">
        <v>0</v>
      </c>
      <c r="AP80" s="314"/>
      <c r="AT80" s="31"/>
    </row>
    <row r="81" spans="1:46" ht="10.15" customHeight="1" x14ac:dyDescent="0.35">
      <c r="A81" s="14"/>
      <c r="B81" s="221"/>
      <c r="C81" s="208"/>
      <c r="D81" s="52"/>
      <c r="E81" s="213"/>
      <c r="F81" s="221"/>
      <c r="G81" s="208"/>
      <c r="H81" s="52"/>
      <c r="I81" s="213"/>
      <c r="J81" s="221"/>
      <c r="K81" s="208"/>
      <c r="L81" s="52"/>
      <c r="M81" s="213"/>
      <c r="N81" s="221"/>
      <c r="O81" s="208"/>
      <c r="P81" s="52"/>
      <c r="Q81" s="213"/>
      <c r="R81" s="221"/>
      <c r="S81" s="208"/>
      <c r="T81" s="52"/>
      <c r="U81" s="213"/>
      <c r="V81" s="221"/>
      <c r="W81" s="208"/>
      <c r="X81" s="52"/>
      <c r="Y81" s="213"/>
      <c r="Z81" s="221"/>
      <c r="AA81" s="208"/>
      <c r="AB81" s="52"/>
      <c r="AC81" s="213"/>
      <c r="AD81" s="221"/>
      <c r="AE81" s="208"/>
      <c r="AF81" s="52"/>
      <c r="AG81" s="213"/>
      <c r="AI81" s="137"/>
      <c r="AJ81" s="137"/>
      <c r="AK81" s="137"/>
      <c r="AL81" s="137"/>
      <c r="AM81" s="137"/>
      <c r="AN81" s="137"/>
      <c r="AO81" s="137"/>
      <c r="AP81" s="137"/>
      <c r="AT81" s="31"/>
    </row>
    <row r="82" spans="1:46" x14ac:dyDescent="0.35">
      <c r="A82" s="13" t="s">
        <v>220</v>
      </c>
      <c r="B82" s="221" t="s">
        <v>91</v>
      </c>
      <c r="C82" s="208">
        <v>-7</v>
      </c>
      <c r="D82" s="52">
        <v>-1</v>
      </c>
      <c r="E82" s="213" t="s">
        <v>91</v>
      </c>
      <c r="F82" s="221">
        <v>-1</v>
      </c>
      <c r="G82" s="208">
        <v>2</v>
      </c>
      <c r="H82" s="52">
        <v>-6</v>
      </c>
      <c r="I82" s="213">
        <v>3</v>
      </c>
      <c r="J82" s="221">
        <v>-10</v>
      </c>
      <c r="K82" s="208">
        <v>1</v>
      </c>
      <c r="L82" s="52">
        <v>2</v>
      </c>
      <c r="M82" s="213">
        <v>8</v>
      </c>
      <c r="N82" s="221">
        <v>-5</v>
      </c>
      <c r="O82" s="208">
        <v>2</v>
      </c>
      <c r="P82" s="52">
        <v>-3</v>
      </c>
      <c r="Q82" s="213">
        <v>3</v>
      </c>
      <c r="R82" s="168">
        <v>0</v>
      </c>
      <c r="S82" s="208">
        <v>-11</v>
      </c>
      <c r="T82" s="52">
        <v>-11</v>
      </c>
      <c r="U82" s="213">
        <v>10</v>
      </c>
      <c r="V82" s="168">
        <v>2</v>
      </c>
      <c r="W82" s="208">
        <v>-3</v>
      </c>
      <c r="X82" s="52">
        <v>-3</v>
      </c>
      <c r="Y82" s="213">
        <v>6</v>
      </c>
      <c r="Z82" s="168">
        <v>-3</v>
      </c>
      <c r="AA82" s="208">
        <v>-4</v>
      </c>
      <c r="AB82" s="52">
        <v>7</v>
      </c>
      <c r="AC82" s="213">
        <v>-4</v>
      </c>
      <c r="AD82" s="168">
        <v>2</v>
      </c>
      <c r="AE82" s="208">
        <v>4</v>
      </c>
      <c r="AF82" s="52">
        <v>0</v>
      </c>
      <c r="AG82" s="213">
        <v>0</v>
      </c>
      <c r="AI82" s="174">
        <v>-8</v>
      </c>
      <c r="AJ82" s="174">
        <f>SUM(F82:I82)</f>
        <v>-2</v>
      </c>
      <c r="AK82" s="174">
        <f>SUM(J82:M82)</f>
        <v>1</v>
      </c>
      <c r="AL82" s="174">
        <f>N82+O82+P82+Q82</f>
        <v>-3</v>
      </c>
      <c r="AM82" s="174">
        <f>SUM(R82:U82)</f>
        <v>-12</v>
      </c>
      <c r="AN82" s="174">
        <v>2</v>
      </c>
      <c r="AO82" s="174">
        <v>-4</v>
      </c>
      <c r="AP82" s="174">
        <f>SUM(AD82:AG82)</f>
        <v>6</v>
      </c>
      <c r="AT82" s="31"/>
    </row>
    <row r="83" spans="1:46" ht="10.15" customHeight="1" x14ac:dyDescent="0.35">
      <c r="A83" s="13"/>
      <c r="B83" s="218"/>
      <c r="C83" s="91"/>
      <c r="D83" s="34"/>
      <c r="E83" s="105"/>
      <c r="F83" s="218"/>
      <c r="G83" s="91"/>
      <c r="H83" s="34"/>
      <c r="I83" s="105"/>
      <c r="J83" s="218"/>
      <c r="K83" s="91"/>
      <c r="L83" s="34"/>
      <c r="M83" s="105"/>
      <c r="N83" s="218"/>
      <c r="O83" s="91"/>
      <c r="P83" s="34"/>
      <c r="Q83" s="105"/>
      <c r="R83" s="218"/>
      <c r="S83" s="91"/>
      <c r="T83" s="34"/>
      <c r="U83" s="105"/>
      <c r="V83" s="218"/>
      <c r="W83" s="91"/>
      <c r="X83" s="34"/>
      <c r="Y83" s="105"/>
      <c r="Z83" s="218"/>
      <c r="AA83" s="91"/>
      <c r="AB83" s="34"/>
      <c r="AC83" s="105"/>
      <c r="AD83" s="218"/>
      <c r="AE83" s="91"/>
      <c r="AF83" s="34"/>
      <c r="AG83" s="105"/>
      <c r="AI83" s="137"/>
      <c r="AJ83" s="137"/>
      <c r="AK83" s="137"/>
      <c r="AL83" s="137"/>
      <c r="AM83" s="137"/>
      <c r="AN83" s="137"/>
      <c r="AO83" s="137"/>
      <c r="AP83" s="137"/>
      <c r="AT83" s="31"/>
    </row>
    <row r="84" spans="1:46" x14ac:dyDescent="0.35">
      <c r="A84" s="13" t="s">
        <v>221</v>
      </c>
      <c r="B84" s="221">
        <v>436</v>
      </c>
      <c r="C84" s="208">
        <v>-1002</v>
      </c>
      <c r="D84" s="52">
        <v>-1037</v>
      </c>
      <c r="E84" s="213">
        <v>845</v>
      </c>
      <c r="F84" s="221">
        <v>-597</v>
      </c>
      <c r="G84" s="208">
        <v>838</v>
      </c>
      <c r="H84" s="52">
        <v>507</v>
      </c>
      <c r="I84" s="213">
        <v>-2492</v>
      </c>
      <c r="J84" s="221">
        <v>34</v>
      </c>
      <c r="K84" s="208">
        <v>2187</v>
      </c>
      <c r="L84" s="52">
        <v>300</v>
      </c>
      <c r="M84" s="213">
        <v>-1291</v>
      </c>
      <c r="N84" s="221">
        <v>-433</v>
      </c>
      <c r="O84" s="208">
        <v>1068</v>
      </c>
      <c r="P84" s="52">
        <v>-607</v>
      </c>
      <c r="Q84" s="213">
        <v>527</v>
      </c>
      <c r="R84" s="221">
        <v>-147</v>
      </c>
      <c r="S84" s="208">
        <v>862</v>
      </c>
      <c r="T84" s="52">
        <v>214</v>
      </c>
      <c r="U84" s="213">
        <v>86</v>
      </c>
      <c r="V84" s="221">
        <v>85</v>
      </c>
      <c r="W84" s="208">
        <v>-67</v>
      </c>
      <c r="X84" s="52">
        <v>179</v>
      </c>
      <c r="Y84" s="213">
        <v>-180</v>
      </c>
      <c r="Z84" s="221">
        <v>-954</v>
      </c>
      <c r="AA84" s="208">
        <v>-49</v>
      </c>
      <c r="AB84" s="52">
        <v>-111</v>
      </c>
      <c r="AC84" s="213">
        <v>544</v>
      </c>
      <c r="AD84" s="221">
        <v>696</v>
      </c>
      <c r="AE84" s="208">
        <v>-818</v>
      </c>
      <c r="AF84" s="52">
        <v>284</v>
      </c>
      <c r="AG84" s="213">
        <v>-187</v>
      </c>
      <c r="AI84" s="137">
        <v>-758</v>
      </c>
      <c r="AJ84" s="137">
        <f>SUM(F84:I84)</f>
        <v>-1744</v>
      </c>
      <c r="AK84" s="137">
        <f>SUM(J84:M84)</f>
        <v>1230</v>
      </c>
      <c r="AL84" s="137">
        <f t="shared" ref="AL84:AM87" si="18">N84+O84+P84+Q84</f>
        <v>555</v>
      </c>
      <c r="AM84" s="137">
        <f>SUM(R84:U84)</f>
        <v>1015</v>
      </c>
      <c r="AN84" s="137">
        <v>17</v>
      </c>
      <c r="AO84" s="137">
        <v>-570</v>
      </c>
      <c r="AP84" s="137">
        <f>SUM(AD84:AG84)</f>
        <v>-25</v>
      </c>
      <c r="AT84" s="31"/>
    </row>
    <row r="85" spans="1:46" x14ac:dyDescent="0.35">
      <c r="A85" s="13" t="s">
        <v>222</v>
      </c>
      <c r="B85" s="221">
        <v>3547</v>
      </c>
      <c r="C85" s="208">
        <v>3983</v>
      </c>
      <c r="D85" s="52">
        <v>2981</v>
      </c>
      <c r="E85" s="213">
        <v>1944</v>
      </c>
      <c r="F85" s="221">
        <v>2789</v>
      </c>
      <c r="G85" s="208">
        <v>2192</v>
      </c>
      <c r="H85" s="52">
        <v>3030</v>
      </c>
      <c r="I85" s="213">
        <v>3537</v>
      </c>
      <c r="J85" s="221">
        <v>1045</v>
      </c>
      <c r="K85" s="208">
        <v>1079</v>
      </c>
      <c r="L85" s="52">
        <v>3266</v>
      </c>
      <c r="M85" s="213">
        <v>3566</v>
      </c>
      <c r="N85" s="221">
        <v>2275</v>
      </c>
      <c r="O85" s="208">
        <v>1842</v>
      </c>
      <c r="P85" s="52">
        <v>2910</v>
      </c>
      <c r="Q85" s="213">
        <v>2303</v>
      </c>
      <c r="R85" s="221">
        <v>2830</v>
      </c>
      <c r="S85" s="208">
        <v>2683</v>
      </c>
      <c r="T85" s="52">
        <v>3545</v>
      </c>
      <c r="U85" s="213">
        <v>3759</v>
      </c>
      <c r="V85" s="221">
        <v>3845</v>
      </c>
      <c r="W85" s="208">
        <v>3930</v>
      </c>
      <c r="X85" s="52">
        <v>3863</v>
      </c>
      <c r="Y85" s="213">
        <v>4042</v>
      </c>
      <c r="Z85" s="221">
        <v>3862</v>
      </c>
      <c r="AA85" s="208">
        <v>2908</v>
      </c>
      <c r="AB85" s="52">
        <v>2859</v>
      </c>
      <c r="AC85" s="213">
        <v>2748</v>
      </c>
      <c r="AD85" s="221">
        <v>3292</v>
      </c>
      <c r="AE85" s="208">
        <v>3988</v>
      </c>
      <c r="AF85" s="52">
        <v>3170</v>
      </c>
      <c r="AG85" s="213">
        <v>3454</v>
      </c>
      <c r="AI85" s="137">
        <v>3547</v>
      </c>
      <c r="AJ85" s="137">
        <v>2789</v>
      </c>
      <c r="AK85" s="137">
        <v>1045</v>
      </c>
      <c r="AL85" s="137">
        <v>2275</v>
      </c>
      <c r="AM85" s="137">
        <v>2830</v>
      </c>
      <c r="AN85" s="137">
        <v>3845</v>
      </c>
      <c r="AO85" s="137">
        <v>3862</v>
      </c>
      <c r="AP85" s="137">
        <v>3292</v>
      </c>
      <c r="AT85" s="31"/>
    </row>
    <row r="86" spans="1:46" x14ac:dyDescent="0.35">
      <c r="A86" s="13" t="s">
        <v>223</v>
      </c>
      <c r="B86" s="218">
        <v>3983</v>
      </c>
      <c r="C86" s="91">
        <v>2981</v>
      </c>
      <c r="D86" s="34">
        <v>1944</v>
      </c>
      <c r="E86" s="105">
        <v>2789</v>
      </c>
      <c r="F86" s="218">
        <v>2192</v>
      </c>
      <c r="G86" s="91">
        <v>3030</v>
      </c>
      <c r="H86" s="34">
        <v>3537</v>
      </c>
      <c r="I86" s="105">
        <v>1045</v>
      </c>
      <c r="J86" s="218">
        <v>1079</v>
      </c>
      <c r="K86" s="91">
        <v>3266</v>
      </c>
      <c r="L86" s="34">
        <v>3566</v>
      </c>
      <c r="M86" s="105">
        <v>2275</v>
      </c>
      <c r="N86" s="218">
        <v>1842</v>
      </c>
      <c r="O86" s="91">
        <v>2910</v>
      </c>
      <c r="P86" s="34">
        <v>2303</v>
      </c>
      <c r="Q86" s="105">
        <v>2830</v>
      </c>
      <c r="R86" s="218">
        <v>2683</v>
      </c>
      <c r="S86" s="91">
        <v>3545</v>
      </c>
      <c r="T86" s="34">
        <v>3759</v>
      </c>
      <c r="U86" s="105">
        <v>3845</v>
      </c>
      <c r="V86" s="218">
        <v>3930</v>
      </c>
      <c r="W86" s="91">
        <v>3863</v>
      </c>
      <c r="X86" s="34">
        <v>4042</v>
      </c>
      <c r="Y86" s="105">
        <v>3862</v>
      </c>
      <c r="Z86" s="218">
        <v>2908</v>
      </c>
      <c r="AA86" s="91">
        <v>2859</v>
      </c>
      <c r="AB86" s="34">
        <v>2748</v>
      </c>
      <c r="AC86" s="105">
        <v>3292</v>
      </c>
      <c r="AD86" s="218">
        <v>3988</v>
      </c>
      <c r="AE86" s="91">
        <v>3170</v>
      </c>
      <c r="AF86" s="34">
        <v>3454</v>
      </c>
      <c r="AG86" s="105">
        <v>3267</v>
      </c>
      <c r="AI86" s="137">
        <v>2789</v>
      </c>
      <c r="AJ86" s="137">
        <v>1045</v>
      </c>
      <c r="AK86" s="137">
        <v>2275</v>
      </c>
      <c r="AL86" s="137">
        <v>2830</v>
      </c>
      <c r="AM86" s="137">
        <v>3845</v>
      </c>
      <c r="AN86" s="137">
        <v>3862</v>
      </c>
      <c r="AO86" s="137">
        <v>3292</v>
      </c>
      <c r="AP86" s="137">
        <f>SUM(AP84:AP85)</f>
        <v>3267</v>
      </c>
      <c r="AT86" s="31"/>
    </row>
    <row r="87" spans="1:46" x14ac:dyDescent="0.35">
      <c r="A87" s="13" t="s">
        <v>224</v>
      </c>
      <c r="B87" s="168">
        <v>0</v>
      </c>
      <c r="C87" s="208" t="s">
        <v>91</v>
      </c>
      <c r="D87" s="208" t="s">
        <v>91</v>
      </c>
      <c r="E87" s="213" t="s">
        <v>91</v>
      </c>
      <c r="F87" s="168" t="s">
        <v>91</v>
      </c>
      <c r="G87" s="295">
        <v>0</v>
      </c>
      <c r="H87" s="295">
        <v>0</v>
      </c>
      <c r="I87" s="213">
        <v>0</v>
      </c>
      <c r="J87" s="168">
        <v>0</v>
      </c>
      <c r="K87" s="295">
        <v>0</v>
      </c>
      <c r="L87" s="295">
        <v>0</v>
      </c>
      <c r="M87" s="213">
        <v>0</v>
      </c>
      <c r="N87" s="168">
        <v>0</v>
      </c>
      <c r="O87" s="295">
        <v>0</v>
      </c>
      <c r="P87" s="295">
        <v>0</v>
      </c>
      <c r="Q87" s="213">
        <v>0</v>
      </c>
      <c r="R87" s="168">
        <v>0</v>
      </c>
      <c r="S87" s="295">
        <v>0</v>
      </c>
      <c r="T87" s="295">
        <v>0</v>
      </c>
      <c r="U87" s="213">
        <v>0</v>
      </c>
      <c r="V87" s="168">
        <v>0</v>
      </c>
      <c r="W87" s="295">
        <v>0</v>
      </c>
      <c r="X87" s="295">
        <v>0</v>
      </c>
      <c r="Y87" s="213">
        <v>0</v>
      </c>
      <c r="Z87" s="168">
        <v>0</v>
      </c>
      <c r="AA87" s="295">
        <v>0</v>
      </c>
      <c r="AB87" s="295">
        <v>0</v>
      </c>
      <c r="AC87" s="213">
        <v>0</v>
      </c>
      <c r="AD87" s="168">
        <v>0</v>
      </c>
      <c r="AE87" s="295">
        <v>0</v>
      </c>
      <c r="AF87" s="295">
        <v>0</v>
      </c>
      <c r="AG87" s="213">
        <v>0</v>
      </c>
      <c r="AI87" s="174" t="s">
        <v>91</v>
      </c>
      <c r="AJ87" s="174">
        <v>0</v>
      </c>
      <c r="AK87" s="174">
        <v>0</v>
      </c>
      <c r="AL87" s="174">
        <f t="shared" si="18"/>
        <v>0</v>
      </c>
      <c r="AM87" s="174">
        <f t="shared" si="18"/>
        <v>0</v>
      </c>
      <c r="AN87" s="174">
        <v>0</v>
      </c>
      <c r="AO87" s="174">
        <v>0</v>
      </c>
      <c r="AP87" s="174">
        <v>0</v>
      </c>
      <c r="AT87" s="31"/>
    </row>
    <row r="88" spans="1:46" s="67" customFormat="1" ht="13.15" x14ac:dyDescent="0.4">
      <c r="A88" s="61" t="s">
        <v>225</v>
      </c>
      <c r="B88" s="220">
        <v>3983</v>
      </c>
      <c r="C88" s="291">
        <v>2981</v>
      </c>
      <c r="D88" s="66">
        <v>1944</v>
      </c>
      <c r="E88" s="316">
        <v>2789</v>
      </c>
      <c r="F88" s="220">
        <v>2192</v>
      </c>
      <c r="G88" s="291">
        <v>3030</v>
      </c>
      <c r="H88" s="66">
        <v>3537</v>
      </c>
      <c r="I88" s="316">
        <v>1045</v>
      </c>
      <c r="J88" s="220">
        <v>1079</v>
      </c>
      <c r="K88" s="291">
        <v>3266</v>
      </c>
      <c r="L88" s="66">
        <v>3566</v>
      </c>
      <c r="M88" s="316">
        <v>2275</v>
      </c>
      <c r="N88" s="220">
        <v>1842</v>
      </c>
      <c r="O88" s="291">
        <v>2910</v>
      </c>
      <c r="P88" s="66">
        <v>2303</v>
      </c>
      <c r="Q88" s="316">
        <v>2830</v>
      </c>
      <c r="R88" s="220">
        <v>2683</v>
      </c>
      <c r="S88" s="291">
        <v>3545</v>
      </c>
      <c r="T88" s="66">
        <v>3759</v>
      </c>
      <c r="U88" s="316">
        <v>3845</v>
      </c>
      <c r="V88" s="220">
        <v>3930</v>
      </c>
      <c r="W88" s="291">
        <v>3863</v>
      </c>
      <c r="X88" s="66">
        <v>4042</v>
      </c>
      <c r="Y88" s="316">
        <v>3862</v>
      </c>
      <c r="Z88" s="220">
        <v>2908</v>
      </c>
      <c r="AA88" s="291">
        <v>2859</v>
      </c>
      <c r="AB88" s="66">
        <v>2748</v>
      </c>
      <c r="AC88" s="316">
        <v>3292</v>
      </c>
      <c r="AD88" s="220">
        <v>3988</v>
      </c>
      <c r="AE88" s="291">
        <v>3170</v>
      </c>
      <c r="AF88" s="66">
        <v>3454</v>
      </c>
      <c r="AG88" s="316">
        <v>3267</v>
      </c>
      <c r="AI88" s="283">
        <v>2789</v>
      </c>
      <c r="AJ88" s="283">
        <v>1045</v>
      </c>
      <c r="AK88" s="283">
        <v>2275</v>
      </c>
      <c r="AL88" s="283">
        <v>2830</v>
      </c>
      <c r="AM88" s="283">
        <v>3845</v>
      </c>
      <c r="AN88" s="283">
        <v>3862</v>
      </c>
      <c r="AO88" s="283">
        <v>3292</v>
      </c>
      <c r="AP88" s="283">
        <f>AG88</f>
        <v>3267</v>
      </c>
      <c r="AT88" s="31"/>
    </row>
    <row r="89" spans="1:46" ht="6" customHeight="1" thickBot="1" x14ac:dyDescent="0.4">
      <c r="A89" s="20"/>
      <c r="B89" s="223"/>
      <c r="C89" s="294"/>
      <c r="D89" s="44"/>
      <c r="E89" s="319"/>
      <c r="F89" s="223"/>
      <c r="G89" s="294"/>
      <c r="H89" s="44"/>
      <c r="I89" s="319">
        <f t="shared" ref="I89" si="19">SUM(F89:H89)</f>
        <v>0</v>
      </c>
      <c r="J89" s="223"/>
      <c r="K89" s="294"/>
      <c r="L89" s="44"/>
      <c r="M89" s="319"/>
      <c r="N89" s="223"/>
      <c r="O89" s="294"/>
      <c r="P89" s="44"/>
      <c r="Q89" s="319"/>
      <c r="R89" s="223"/>
      <c r="S89" s="294"/>
      <c r="T89" s="44"/>
      <c r="U89" s="319"/>
      <c r="V89" s="223"/>
      <c r="W89" s="294"/>
      <c r="X89" s="44"/>
      <c r="Y89" s="319"/>
      <c r="Z89" s="223"/>
      <c r="AA89" s="294"/>
      <c r="AB89" s="44"/>
      <c r="AC89" s="319"/>
      <c r="AD89" s="223"/>
      <c r="AE89" s="294"/>
      <c r="AF89" s="44"/>
      <c r="AG89" s="319"/>
      <c r="AI89" s="528"/>
      <c r="AJ89" s="528"/>
      <c r="AK89" s="528"/>
      <c r="AL89" s="528"/>
      <c r="AM89" s="528"/>
      <c r="AN89" s="528"/>
      <c r="AO89" s="528"/>
      <c r="AP89" s="528"/>
      <c r="AT89" s="31"/>
    </row>
    <row r="90" spans="1:46" x14ac:dyDescent="0.35">
      <c r="A90" s="568"/>
      <c r="AI90" s="65"/>
      <c r="AJ90" s="65"/>
      <c r="AK90" s="65"/>
      <c r="AL90" s="65"/>
      <c r="AM90" s="65"/>
      <c r="AN90" s="65"/>
      <c r="AO90" s="65"/>
      <c r="AT90" s="31"/>
    </row>
    <row r="91" spans="1:46" x14ac:dyDescent="0.35">
      <c r="A91" s="272" t="s">
        <v>226</v>
      </c>
      <c r="AT91" s="31"/>
    </row>
    <row r="92" spans="1:46" x14ac:dyDescent="0.35">
      <c r="A92" s="175" t="s">
        <v>227</v>
      </c>
      <c r="B92">
        <v>21</v>
      </c>
      <c r="C92" s="273">
        <v>75</v>
      </c>
      <c r="D92" s="134">
        <v>7</v>
      </c>
      <c r="E92">
        <v>74</v>
      </c>
      <c r="F92" s="344">
        <v>25</v>
      </c>
      <c r="G92" s="344">
        <v>78</v>
      </c>
      <c r="H92" s="344">
        <v>44</v>
      </c>
      <c r="I92" s="344">
        <v>95</v>
      </c>
      <c r="J92" s="344">
        <v>53</v>
      </c>
      <c r="K92" s="344">
        <v>104</v>
      </c>
      <c r="L92" s="344">
        <v>54</v>
      </c>
      <c r="M92">
        <v>125</v>
      </c>
      <c r="N92" s="344">
        <v>56</v>
      </c>
      <c r="O92" s="344">
        <v>104</v>
      </c>
      <c r="P92" s="344">
        <v>56</v>
      </c>
      <c r="Q92" s="344">
        <v>140</v>
      </c>
      <c r="R92" s="344">
        <v>45</v>
      </c>
      <c r="S92" s="344">
        <v>133</v>
      </c>
      <c r="T92" s="344">
        <v>39</v>
      </c>
      <c r="U92" s="344">
        <v>106</v>
      </c>
      <c r="V92" s="344">
        <v>54</v>
      </c>
      <c r="W92" s="344">
        <v>86</v>
      </c>
      <c r="X92" s="344">
        <v>38</v>
      </c>
      <c r="Y92" s="344">
        <v>83</v>
      </c>
      <c r="Z92" s="344">
        <v>38</v>
      </c>
      <c r="AA92" s="344">
        <v>86</v>
      </c>
      <c r="AB92" s="344">
        <v>27</v>
      </c>
      <c r="AC92" s="344">
        <v>92</v>
      </c>
      <c r="AD92" s="344">
        <v>41</v>
      </c>
      <c r="AE92" s="344">
        <v>109</v>
      </c>
      <c r="AF92" s="344">
        <v>44</v>
      </c>
      <c r="AG92" s="344">
        <v>112</v>
      </c>
      <c r="AI92" s="344">
        <v>177</v>
      </c>
      <c r="AJ92" s="344">
        <v>242</v>
      </c>
      <c r="AK92" s="344">
        <f t="shared" ref="AK92:AK96" si="20">SUM(J92:M92)</f>
        <v>336</v>
      </c>
      <c r="AL92" s="344">
        <v>356</v>
      </c>
      <c r="AM92" s="344">
        <v>323</v>
      </c>
      <c r="AN92" s="344">
        <v>261</v>
      </c>
      <c r="AO92" s="344">
        <v>243</v>
      </c>
      <c r="AP92" s="344">
        <f>SUM(AD92:AG92)</f>
        <v>306</v>
      </c>
      <c r="AT92" s="31"/>
    </row>
    <row r="93" spans="1:46" x14ac:dyDescent="0.35">
      <c r="A93" s="134" t="s">
        <v>228</v>
      </c>
      <c r="B93">
        <v>44</v>
      </c>
      <c r="C93" s="273">
        <v>3</v>
      </c>
      <c r="D93" s="134">
        <v>80</v>
      </c>
      <c r="E93">
        <v>61</v>
      </c>
      <c r="F93" s="344">
        <v>209</v>
      </c>
      <c r="G93" s="344">
        <v>66</v>
      </c>
      <c r="H93" s="344">
        <v>59</v>
      </c>
      <c r="I93" s="344">
        <v>34</v>
      </c>
      <c r="J93" s="344">
        <v>39</v>
      </c>
      <c r="K93" s="344">
        <v>25</v>
      </c>
      <c r="L93" s="344">
        <v>39</v>
      </c>
      <c r="M93">
        <v>45</v>
      </c>
      <c r="N93" s="344">
        <v>40</v>
      </c>
      <c r="O93" s="344">
        <v>121</v>
      </c>
      <c r="P93" s="344">
        <v>89</v>
      </c>
      <c r="Q93" s="344">
        <v>103</v>
      </c>
      <c r="R93" s="344">
        <v>122</v>
      </c>
      <c r="S93" s="344">
        <v>150</v>
      </c>
      <c r="T93" s="344">
        <v>160</v>
      </c>
      <c r="U93" s="344">
        <v>126</v>
      </c>
      <c r="V93" s="344">
        <v>294</v>
      </c>
      <c r="W93" s="344">
        <v>239</v>
      </c>
      <c r="X93" s="344">
        <v>165</v>
      </c>
      <c r="Y93" s="344">
        <v>221</v>
      </c>
      <c r="Z93" s="344">
        <v>198</v>
      </c>
      <c r="AA93" s="344">
        <v>193</v>
      </c>
      <c r="AB93" s="344">
        <v>196</v>
      </c>
      <c r="AC93" s="344">
        <v>280</v>
      </c>
      <c r="AD93" s="344">
        <v>96</v>
      </c>
      <c r="AE93" s="344">
        <v>167</v>
      </c>
      <c r="AF93" s="344">
        <v>174</v>
      </c>
      <c r="AG93" s="344">
        <v>144</v>
      </c>
      <c r="AI93" s="344">
        <v>188</v>
      </c>
      <c r="AJ93" s="344">
        <v>368</v>
      </c>
      <c r="AK93" s="344">
        <f t="shared" si="20"/>
        <v>148</v>
      </c>
      <c r="AL93" s="344">
        <v>353</v>
      </c>
      <c r="AM93" s="344">
        <v>558</v>
      </c>
      <c r="AN93" s="344">
        <v>919</v>
      </c>
      <c r="AO93" s="344">
        <v>867</v>
      </c>
      <c r="AP93" s="344">
        <f>SUM(AD93:AG93)</f>
        <v>581</v>
      </c>
      <c r="AT93" s="31"/>
    </row>
    <row r="94" spans="1:46" x14ac:dyDescent="0.35">
      <c r="A94" s="272" t="s">
        <v>229</v>
      </c>
      <c r="C94" s="273"/>
      <c r="D94" s="134"/>
      <c r="F94" s="344"/>
      <c r="G94" s="344"/>
      <c r="H94" s="344"/>
      <c r="I94" s="344"/>
      <c r="J94" s="344"/>
      <c r="K94" s="344"/>
      <c r="L94" s="344"/>
      <c r="N94" s="344"/>
      <c r="O94" s="344"/>
      <c r="P94" s="344"/>
      <c r="R94" s="344"/>
      <c r="S94" s="344"/>
      <c r="T94" s="344"/>
      <c r="V94" s="344"/>
      <c r="W94" s="344"/>
      <c r="X94" s="344"/>
      <c r="Z94" s="344"/>
      <c r="AA94" s="344"/>
      <c r="AB94" s="344"/>
      <c r="AI94" s="344"/>
      <c r="AJ94" s="344"/>
      <c r="AK94" s="344"/>
      <c r="AL94" s="344"/>
      <c r="AM94" s="344"/>
      <c r="AN94" s="344"/>
      <c r="AO94" s="344"/>
      <c r="AT94" s="31"/>
    </row>
    <row r="95" spans="1:46" x14ac:dyDescent="0.35">
      <c r="A95" s="175" t="s">
        <v>230</v>
      </c>
      <c r="B95" s="344">
        <v>0</v>
      </c>
      <c r="C95" s="344">
        <v>0</v>
      </c>
      <c r="D95" s="344">
        <v>0</v>
      </c>
      <c r="E95" s="344">
        <v>0</v>
      </c>
      <c r="F95" s="344">
        <v>0</v>
      </c>
      <c r="G95" s="344">
        <v>0</v>
      </c>
      <c r="H95" s="344">
        <v>21</v>
      </c>
      <c r="I95" s="344">
        <v>0</v>
      </c>
      <c r="J95" s="344">
        <v>161</v>
      </c>
      <c r="K95" s="344">
        <v>0</v>
      </c>
      <c r="L95" s="344">
        <v>2</v>
      </c>
      <c r="M95" s="344">
        <v>2</v>
      </c>
      <c r="N95" s="344">
        <v>0</v>
      </c>
      <c r="O95" s="344">
        <v>0</v>
      </c>
      <c r="P95" s="344">
        <v>0</v>
      </c>
      <c r="Q95" s="344">
        <v>1</v>
      </c>
      <c r="R95" s="344">
        <v>1</v>
      </c>
      <c r="S95" s="344">
        <v>0</v>
      </c>
      <c r="T95" s="344">
        <v>1</v>
      </c>
      <c r="U95" s="344">
        <v>0</v>
      </c>
      <c r="V95" s="344">
        <v>0</v>
      </c>
      <c r="W95" s="344">
        <v>1</v>
      </c>
      <c r="X95" s="344">
        <v>0</v>
      </c>
      <c r="Y95" s="344">
        <v>0</v>
      </c>
      <c r="Z95" s="344">
        <v>2</v>
      </c>
      <c r="AA95" s="344">
        <v>1</v>
      </c>
      <c r="AB95" s="344">
        <v>0</v>
      </c>
      <c r="AC95" s="344">
        <v>1</v>
      </c>
      <c r="AD95" s="344">
        <v>31</v>
      </c>
      <c r="AE95" s="344">
        <v>6</v>
      </c>
      <c r="AF95" s="344">
        <v>1</v>
      </c>
      <c r="AG95" s="344">
        <v>0</v>
      </c>
      <c r="AI95" s="344">
        <v>0</v>
      </c>
      <c r="AJ95" s="344">
        <v>21</v>
      </c>
      <c r="AK95" s="344">
        <f t="shared" si="20"/>
        <v>165</v>
      </c>
      <c r="AL95" s="344">
        <v>1</v>
      </c>
      <c r="AM95" s="344">
        <v>2</v>
      </c>
      <c r="AN95" s="344">
        <v>1</v>
      </c>
      <c r="AO95" s="344">
        <v>4</v>
      </c>
      <c r="AP95" s="344">
        <f t="shared" ref="AP95:AP96" si="21">SUM(AD95:AG95)</f>
        <v>38</v>
      </c>
      <c r="AT95" s="31"/>
    </row>
    <row r="96" spans="1:46" x14ac:dyDescent="0.35">
      <c r="A96" s="134" t="s">
        <v>231</v>
      </c>
      <c r="B96" s="344">
        <v>0</v>
      </c>
      <c r="C96" s="344">
        <v>0</v>
      </c>
      <c r="D96" s="344">
        <v>0</v>
      </c>
      <c r="E96" s="344">
        <v>0</v>
      </c>
      <c r="F96" s="344">
        <v>0</v>
      </c>
      <c r="G96" s="344">
        <v>0</v>
      </c>
      <c r="H96" s="344">
        <v>-1</v>
      </c>
      <c r="I96" s="344">
        <v>0</v>
      </c>
      <c r="J96" s="344">
        <v>-51</v>
      </c>
      <c r="K96" s="344">
        <v>0</v>
      </c>
      <c r="L96" s="344">
        <v>-1</v>
      </c>
      <c r="M96" s="344">
        <v>2</v>
      </c>
      <c r="N96" s="344">
        <v>0</v>
      </c>
      <c r="O96" s="344">
        <v>0</v>
      </c>
      <c r="P96" s="344">
        <v>0</v>
      </c>
      <c r="Q96" s="344">
        <v>0</v>
      </c>
      <c r="R96" s="344">
        <v>0</v>
      </c>
      <c r="S96" s="344">
        <v>0</v>
      </c>
      <c r="T96" s="344">
        <v>0</v>
      </c>
      <c r="U96" s="344">
        <v>-2</v>
      </c>
      <c r="V96" s="344">
        <v>0</v>
      </c>
      <c r="W96" s="344">
        <v>0</v>
      </c>
      <c r="X96" s="344">
        <v>0</v>
      </c>
      <c r="Y96" s="344">
        <v>0</v>
      </c>
      <c r="Z96" s="344">
        <v>0</v>
      </c>
      <c r="AA96" s="344">
        <v>-1</v>
      </c>
      <c r="AB96" s="344">
        <v>0</v>
      </c>
      <c r="AC96" s="344">
        <v>0</v>
      </c>
      <c r="AD96" s="344">
        <v>-9</v>
      </c>
      <c r="AE96" s="344">
        <v>0</v>
      </c>
      <c r="AF96" s="344">
        <v>0</v>
      </c>
      <c r="AG96" s="344">
        <v>0</v>
      </c>
      <c r="AI96" s="344">
        <v>0</v>
      </c>
      <c r="AJ96" s="344">
        <v>-1</v>
      </c>
      <c r="AK96" s="344">
        <f t="shared" si="20"/>
        <v>-50</v>
      </c>
      <c r="AL96" s="344">
        <v>0</v>
      </c>
      <c r="AM96" s="344">
        <v>-2</v>
      </c>
      <c r="AN96" s="344">
        <v>0</v>
      </c>
      <c r="AO96" s="344">
        <v>-1</v>
      </c>
      <c r="AP96" s="344">
        <f t="shared" si="21"/>
        <v>-9</v>
      </c>
      <c r="AT96" s="31"/>
    </row>
    <row r="97" spans="1:46" x14ac:dyDescent="0.35">
      <c r="A97" s="272" t="s">
        <v>232</v>
      </c>
      <c r="C97" s="273"/>
      <c r="D97" s="134"/>
      <c r="G97" s="273"/>
      <c r="H97" s="134"/>
      <c r="J97" s="344"/>
      <c r="K97" s="344"/>
      <c r="L97" s="344"/>
      <c r="M97" s="344"/>
      <c r="N97" s="344"/>
      <c r="O97" s="344"/>
      <c r="P97" s="344"/>
      <c r="Q97" s="344"/>
      <c r="R97" s="344"/>
      <c r="S97" s="344"/>
      <c r="T97" s="344"/>
      <c r="U97" s="344"/>
      <c r="V97" s="344"/>
      <c r="W97" s="344"/>
      <c r="X97" s="344"/>
      <c r="Y97" s="344"/>
      <c r="Z97" s="344"/>
      <c r="AA97" s="344"/>
      <c r="AB97" s="344"/>
      <c r="AC97" s="344"/>
      <c r="AD97" s="344"/>
      <c r="AE97" s="344"/>
      <c r="AF97" s="344"/>
      <c r="AG97" s="344"/>
      <c r="AI97" s="344"/>
      <c r="AJ97" s="344"/>
      <c r="AK97" s="344"/>
      <c r="AL97" s="344"/>
      <c r="AM97" s="344"/>
      <c r="AN97" s="344"/>
      <c r="AO97" s="344"/>
      <c r="AT97" s="31"/>
    </row>
    <row r="98" spans="1:46" x14ac:dyDescent="0.35">
      <c r="A98" s="134" t="s">
        <v>233</v>
      </c>
      <c r="B98" s="346"/>
      <c r="C98" s="347"/>
      <c r="D98" s="175"/>
      <c r="E98" s="346">
        <v>137</v>
      </c>
      <c r="F98" s="344">
        <v>89</v>
      </c>
      <c r="G98" s="273">
        <v>89</v>
      </c>
      <c r="H98" s="134">
        <v>94</v>
      </c>
      <c r="I98" s="344">
        <v>133</v>
      </c>
      <c r="J98">
        <v>78</v>
      </c>
      <c r="K98" s="273">
        <v>54</v>
      </c>
      <c r="L98" s="134">
        <v>62</v>
      </c>
      <c r="M98">
        <v>119</v>
      </c>
      <c r="N98" s="344">
        <v>121</v>
      </c>
      <c r="O98" s="273">
        <v>167</v>
      </c>
      <c r="P98" s="134">
        <v>224</v>
      </c>
      <c r="Q98" s="344">
        <v>243</v>
      </c>
      <c r="R98" s="344">
        <v>246</v>
      </c>
      <c r="S98" s="273">
        <v>243</v>
      </c>
      <c r="T98" s="134">
        <v>176</v>
      </c>
      <c r="U98" s="344">
        <v>232</v>
      </c>
      <c r="V98" s="344">
        <v>176</v>
      </c>
      <c r="W98" s="273">
        <v>165</v>
      </c>
      <c r="X98" s="134">
        <v>167</v>
      </c>
      <c r="Y98" s="344">
        <v>266</v>
      </c>
      <c r="Z98" s="344">
        <v>223</v>
      </c>
      <c r="AA98" s="273">
        <v>166</v>
      </c>
      <c r="AB98" s="134">
        <v>125</v>
      </c>
      <c r="AC98" s="344">
        <v>161</v>
      </c>
      <c r="AD98" s="344">
        <v>108</v>
      </c>
      <c r="AE98" s="344">
        <v>103</v>
      </c>
      <c r="AF98" s="344">
        <v>112</v>
      </c>
      <c r="AG98" s="344">
        <v>110</v>
      </c>
      <c r="AI98" s="344">
        <v>137</v>
      </c>
      <c r="AJ98" s="344">
        <v>133</v>
      </c>
      <c r="AK98" s="344">
        <v>119</v>
      </c>
      <c r="AL98" s="344">
        <v>243</v>
      </c>
      <c r="AM98" s="344">
        <v>232</v>
      </c>
      <c r="AN98" s="344">
        <v>266</v>
      </c>
      <c r="AO98" s="344">
        <v>161</v>
      </c>
      <c r="AP98" s="344">
        <f>AG98</f>
        <v>110</v>
      </c>
      <c r="AT98" s="31"/>
    </row>
    <row r="99" spans="1:46" x14ac:dyDescent="0.35">
      <c r="A99" s="134"/>
      <c r="C99" s="273"/>
      <c r="D99" s="134"/>
      <c r="G99" s="273"/>
      <c r="H99" s="134"/>
      <c r="K99" s="273"/>
      <c r="L99" s="134"/>
      <c r="O99" s="273"/>
      <c r="P99" s="134"/>
      <c r="S99" s="273"/>
      <c r="T99" s="134"/>
      <c r="W99" s="273"/>
      <c r="X99" s="134"/>
      <c r="AA99" s="273"/>
      <c r="AB99" s="134"/>
      <c r="AI99" s="344"/>
      <c r="AJ99" s="344"/>
      <c r="AK99" s="344"/>
      <c r="AL99" s="344"/>
      <c r="AM99" s="344"/>
      <c r="AN99" s="344"/>
      <c r="AO99" s="344"/>
    </row>
    <row r="100" spans="1:46" x14ac:dyDescent="0.35">
      <c r="A100" s="297" t="s">
        <v>234</v>
      </c>
      <c r="AI100" s="529"/>
      <c r="AJ100" s="529"/>
      <c r="AK100" s="529"/>
      <c r="AL100" s="529"/>
      <c r="AM100" s="529"/>
      <c r="AN100" s="529"/>
      <c r="AO100" s="529"/>
    </row>
    <row r="101" spans="1:46" x14ac:dyDescent="0.35">
      <c r="A101" s="134" t="s">
        <v>235</v>
      </c>
      <c r="B101" s="43">
        <v>-36</v>
      </c>
      <c r="F101" s="43"/>
      <c r="J101" s="43"/>
      <c r="N101" s="43"/>
      <c r="R101" s="43"/>
      <c r="V101" s="43"/>
      <c r="Z101" s="43"/>
      <c r="AI101" s="529">
        <v>-36</v>
      </c>
      <c r="AJ101" s="529"/>
      <c r="AK101" s="529"/>
      <c r="AL101" s="529"/>
      <c r="AM101" s="529"/>
      <c r="AN101" s="529"/>
      <c r="AO101" s="529"/>
    </row>
    <row r="102" spans="1:46" x14ac:dyDescent="0.35">
      <c r="A102" s="134" t="s">
        <v>120</v>
      </c>
      <c r="B102">
        <v>22</v>
      </c>
      <c r="AI102" s="345">
        <v>22</v>
      </c>
      <c r="AJ102" s="345"/>
      <c r="AK102" s="345"/>
      <c r="AL102" s="345"/>
      <c r="AM102" s="345"/>
      <c r="AN102" s="345"/>
      <c r="AO102" s="345"/>
    </row>
    <row r="103" spans="1:46" x14ac:dyDescent="0.35">
      <c r="A103" s="568"/>
      <c r="AI103" s="345"/>
      <c r="AJ103" s="345"/>
      <c r="AK103" s="345"/>
      <c r="AL103" s="345"/>
      <c r="AM103" s="345"/>
      <c r="AN103" s="345"/>
      <c r="AO103" s="345"/>
    </row>
    <row r="104" spans="1:46" x14ac:dyDescent="0.35">
      <c r="A104" s="313"/>
    </row>
    <row r="105" spans="1:46" x14ac:dyDescent="0.35">
      <c r="A105" s="134"/>
    </row>
    <row r="106" spans="1:46" x14ac:dyDescent="0.35">
      <c r="A106" s="134"/>
    </row>
    <row r="107" spans="1:46" x14ac:dyDescent="0.35">
      <c r="A107" s="134"/>
    </row>
  </sheetData>
  <customSheetViews>
    <customSheetView guid="{8A3FF670-BD86-44B8-80D6-F16ECD9AAB7E}">
      <selection activeCell="L70" sqref="L70"/>
      <pageMargins left="0" right="0" top="0" bottom="0" header="0" footer="0"/>
      <pageSetup scale="79" orientation="portrait" r:id="rId1"/>
    </customSheetView>
    <customSheetView guid="{3AEE86E9-9A50-484E-B189-6F484AA443A0}" topLeftCell="B1">
      <selection activeCell="T26" sqref="T26"/>
      <pageMargins left="0" right="0" top="0" bottom="0" header="0" footer="0"/>
      <pageSetup scale="79" orientation="portrait" r:id="rId2"/>
    </customSheetView>
  </customSheetViews>
  <phoneticPr fontId="12" type="noConversion"/>
  <pageMargins left="0.2" right="0.2" top="0.5" bottom="0.5" header="0" footer="0"/>
  <pageSetup scale="29" orientation="portrait" r:id="rId3"/>
  <customProperties>
    <customPr name="_pios_id" r:id="rId4"/>
  </customProperties>
  <ignoredErrors>
    <ignoredError sqref="AK92:AK93 AJ72:AJ87 AK84 AK72:AK82 AM6:AM8 AM21:AM23 AM26:AM28 AM43:AM46 AM82 AM84 AJ18:AK32 AJ63:AK70 AM63:AM72 AJ6:AK16 AM10:AM17 AM74:AM80 AM38:AM40 AJ38:AK40 AJ35:AK36 AM31:AM36 AM49:AM60 AJ43:AK60 AP6:AP83 AP97 AP94 AP87 AP89:AP9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F8261-B276-4C2A-808D-FFB072AECCB1}">
  <sheetPr>
    <pageSetUpPr fitToPage="1"/>
  </sheetPr>
  <dimension ref="A1:BJ54"/>
  <sheetViews>
    <sheetView tabSelected="1" zoomScaleNormal="100" workbookViewId="0">
      <pane xSplit="1" topLeftCell="AA1" activePane="topRight" state="frozen"/>
      <selection activeCell="N50" sqref="N50"/>
      <selection pane="topRight" activeCell="C17" sqref="C17"/>
    </sheetView>
  </sheetViews>
  <sheetFormatPr defaultRowHeight="12.75" outlineLevelCol="1" x14ac:dyDescent="0.35"/>
  <cols>
    <col min="1" max="1" width="48.86328125" customWidth="1"/>
    <col min="2" max="21" width="9.3984375" hidden="1" customWidth="1" outlineLevel="1"/>
    <col min="22" max="22" width="9.3984375" customWidth="1" collapsed="1"/>
    <col min="23" max="33" width="9.3984375" customWidth="1"/>
    <col min="34" max="34" width="2.59765625" customWidth="1"/>
    <col min="35" max="39" width="9.1328125" customWidth="1" outlineLevel="1"/>
    <col min="40" max="42" width="9.1328125" customWidth="1"/>
    <col min="44" max="44" width="11.3984375" bestFit="1" customWidth="1"/>
  </cols>
  <sheetData>
    <row r="1" spans="1:42" ht="13.9" x14ac:dyDescent="0.4">
      <c r="A1" s="1" t="s">
        <v>43</v>
      </c>
    </row>
    <row r="3" spans="1:42" ht="14.25" thickBot="1" x14ac:dyDescent="0.45">
      <c r="A3" s="1" t="s">
        <v>236</v>
      </c>
      <c r="AK3" s="338"/>
      <c r="AL3" s="338"/>
      <c r="AN3" s="338"/>
      <c r="AO3" s="338"/>
      <c r="AP3" t="s">
        <v>45</v>
      </c>
    </row>
    <row r="4" spans="1:42" ht="13.5" thickBot="1" x14ac:dyDescent="0.4">
      <c r="A4" s="8" t="s">
        <v>46</v>
      </c>
      <c r="B4" s="159" t="s">
        <v>47</v>
      </c>
      <c r="C4" s="160" t="s">
        <v>48</v>
      </c>
      <c r="D4" s="160" t="s">
        <v>49</v>
      </c>
      <c r="E4" s="73" t="s">
        <v>50</v>
      </c>
      <c r="F4" s="159" t="s">
        <v>51</v>
      </c>
      <c r="G4" s="160" t="s">
        <v>52</v>
      </c>
      <c r="H4" s="160" t="s">
        <v>53</v>
      </c>
      <c r="I4" s="73" t="s">
        <v>54</v>
      </c>
      <c r="J4" s="159" t="s">
        <v>55</v>
      </c>
      <c r="K4" s="160" t="s">
        <v>56</v>
      </c>
      <c r="L4" s="160" t="s">
        <v>57</v>
      </c>
      <c r="M4" s="73" t="s">
        <v>58</v>
      </c>
      <c r="N4" s="159" t="s">
        <v>59</v>
      </c>
      <c r="O4" s="160" t="s">
        <v>60</v>
      </c>
      <c r="P4" s="160" t="s">
        <v>61</v>
      </c>
      <c r="Q4" s="73" t="s">
        <v>62</v>
      </c>
      <c r="R4" s="159" t="s">
        <v>63</v>
      </c>
      <c r="S4" s="160" t="s">
        <v>64</v>
      </c>
      <c r="T4" s="160" t="s">
        <v>65</v>
      </c>
      <c r="U4" s="73" t="s">
        <v>66</v>
      </c>
      <c r="V4" s="159" t="s">
        <v>67</v>
      </c>
      <c r="W4" s="160" t="s">
        <v>68</v>
      </c>
      <c r="X4" s="160" t="s">
        <v>69</v>
      </c>
      <c r="Y4" s="73" t="s">
        <v>70</v>
      </c>
      <c r="Z4" s="159" t="s">
        <v>71</v>
      </c>
      <c r="AA4" s="160" t="s">
        <v>72</v>
      </c>
      <c r="AB4" s="160" t="s">
        <v>73</v>
      </c>
      <c r="AC4" s="73" t="s">
        <v>74</v>
      </c>
      <c r="AD4" s="159" t="s">
        <v>75</v>
      </c>
      <c r="AE4" s="160" t="s">
        <v>76</v>
      </c>
      <c r="AF4" s="160" t="s">
        <v>77</v>
      </c>
      <c r="AG4" s="73" t="s">
        <v>78</v>
      </c>
      <c r="AI4" s="181">
        <v>2018</v>
      </c>
      <c r="AJ4" s="181">
        <v>2019</v>
      </c>
      <c r="AK4" s="181">
        <v>2020</v>
      </c>
      <c r="AL4" s="181">
        <v>2021</v>
      </c>
      <c r="AM4" s="181">
        <v>2022</v>
      </c>
      <c r="AN4" s="181">
        <v>2023</v>
      </c>
      <c r="AO4" s="181">
        <v>2024</v>
      </c>
      <c r="AP4" s="181">
        <v>2025</v>
      </c>
    </row>
    <row r="5" spans="1:42" ht="18" customHeight="1" x14ac:dyDescent="0.35">
      <c r="A5" s="306" t="s">
        <v>237</v>
      </c>
      <c r="B5" s="298">
        <v>1131</v>
      </c>
      <c r="C5" s="287">
        <v>1143</v>
      </c>
      <c r="D5" s="194">
        <v>1121</v>
      </c>
      <c r="E5" s="308">
        <v>1112</v>
      </c>
      <c r="F5" s="298">
        <v>1036</v>
      </c>
      <c r="G5" s="287">
        <v>1031</v>
      </c>
      <c r="H5" s="194">
        <v>1048</v>
      </c>
      <c r="I5" s="308">
        <v>1097</v>
      </c>
      <c r="J5" s="298">
        <v>994</v>
      </c>
      <c r="K5" s="287">
        <v>674</v>
      </c>
      <c r="L5" s="194">
        <v>964</v>
      </c>
      <c r="M5" s="308">
        <v>1193</v>
      </c>
      <c r="N5" s="298">
        <v>1229</v>
      </c>
      <c r="O5" s="287">
        <v>1262</v>
      </c>
      <c r="P5" s="194">
        <v>1455</v>
      </c>
      <c r="Q5" s="308">
        <v>1547</v>
      </c>
      <c r="R5" s="298">
        <v>1557</v>
      </c>
      <c r="S5" s="287">
        <v>1713</v>
      </c>
      <c r="T5" s="194">
        <v>1804</v>
      </c>
      <c r="U5" s="308">
        <v>1805</v>
      </c>
      <c r="V5" s="298">
        <v>1828</v>
      </c>
      <c r="W5" s="287">
        <v>1866</v>
      </c>
      <c r="X5" s="194">
        <v>1891</v>
      </c>
      <c r="Y5" s="308">
        <v>1899</v>
      </c>
      <c r="Z5" s="298">
        <v>1804</v>
      </c>
      <c r="AA5" s="287">
        <v>1728</v>
      </c>
      <c r="AB5" s="194">
        <v>1829</v>
      </c>
      <c r="AC5" s="308">
        <v>1790</v>
      </c>
      <c r="AD5" s="298">
        <v>1674</v>
      </c>
      <c r="AE5" s="287">
        <v>1729</v>
      </c>
      <c r="AF5" s="194">
        <v>1837</v>
      </c>
      <c r="AG5" s="308">
        <v>1876</v>
      </c>
      <c r="AI5" s="42">
        <v>4507</v>
      </c>
      <c r="AJ5" s="42">
        <v>4212</v>
      </c>
      <c r="AK5" s="42">
        <v>3825</v>
      </c>
      <c r="AL5" s="42">
        <v>5493</v>
      </c>
      <c r="AM5" s="42">
        <v>6879</v>
      </c>
      <c r="AN5" s="42">
        <v>7484</v>
      </c>
      <c r="AO5" s="42">
        <v>7151</v>
      </c>
      <c r="AP5" s="42">
        <v>7116</v>
      </c>
    </row>
    <row r="6" spans="1:42" ht="18" customHeight="1" x14ac:dyDescent="0.35">
      <c r="A6" s="307" t="s">
        <v>238</v>
      </c>
      <c r="B6" s="309">
        <v>426</v>
      </c>
      <c r="C6" s="288">
        <v>454</v>
      </c>
      <c r="D6" s="40">
        <v>498</v>
      </c>
      <c r="E6" s="41">
        <v>435</v>
      </c>
      <c r="F6" s="309">
        <v>368</v>
      </c>
      <c r="G6" s="288">
        <v>390</v>
      </c>
      <c r="H6" s="40">
        <v>426</v>
      </c>
      <c r="I6" s="41">
        <v>415</v>
      </c>
      <c r="J6" s="309">
        <v>376</v>
      </c>
      <c r="K6" s="288">
        <v>435</v>
      </c>
      <c r="L6" s="40">
        <v>514</v>
      </c>
      <c r="M6" s="41">
        <v>511</v>
      </c>
      <c r="N6" s="309">
        <v>571</v>
      </c>
      <c r="O6" s="288">
        <v>571</v>
      </c>
      <c r="P6" s="40">
        <v>607</v>
      </c>
      <c r="Q6" s="41">
        <v>661</v>
      </c>
      <c r="R6" s="309">
        <v>682</v>
      </c>
      <c r="S6" s="288">
        <v>713</v>
      </c>
      <c r="T6" s="40">
        <v>713</v>
      </c>
      <c r="U6" s="41">
        <v>605</v>
      </c>
      <c r="V6" s="309">
        <v>504</v>
      </c>
      <c r="W6" s="288">
        <v>578</v>
      </c>
      <c r="X6" s="40">
        <v>607</v>
      </c>
      <c r="Y6" s="41">
        <v>662</v>
      </c>
      <c r="Z6" s="309">
        <v>574</v>
      </c>
      <c r="AA6" s="288">
        <v>616</v>
      </c>
      <c r="AB6" s="40">
        <v>563</v>
      </c>
      <c r="AC6" s="41">
        <v>516</v>
      </c>
      <c r="AD6" s="309">
        <v>508</v>
      </c>
      <c r="AE6" s="288">
        <v>546</v>
      </c>
      <c r="AF6" s="40">
        <v>579</v>
      </c>
      <c r="AG6" s="41">
        <v>640</v>
      </c>
      <c r="AI6" s="42">
        <v>1813</v>
      </c>
      <c r="AJ6" s="42">
        <v>1599</v>
      </c>
      <c r="AK6" s="42">
        <v>1836</v>
      </c>
      <c r="AL6" s="42">
        <v>2410</v>
      </c>
      <c r="AM6" s="42">
        <v>2713</v>
      </c>
      <c r="AN6" s="42">
        <v>2351</v>
      </c>
      <c r="AO6" s="42">
        <v>2269</v>
      </c>
      <c r="AP6" s="42">
        <v>2273</v>
      </c>
    </row>
    <row r="7" spans="1:42" ht="18" customHeight="1" x14ac:dyDescent="0.35">
      <c r="A7" s="306" t="s">
        <v>239</v>
      </c>
      <c r="B7" s="309">
        <v>266</v>
      </c>
      <c r="C7" s="288">
        <v>238</v>
      </c>
      <c r="D7" s="40">
        <v>316</v>
      </c>
      <c r="E7" s="41">
        <v>344</v>
      </c>
      <c r="F7" s="309">
        <v>241</v>
      </c>
      <c r="G7" s="288">
        <v>297</v>
      </c>
      <c r="H7" s="40">
        <v>321</v>
      </c>
      <c r="I7" s="41">
        <v>332</v>
      </c>
      <c r="J7" s="309">
        <v>247</v>
      </c>
      <c r="K7" s="288">
        <v>255</v>
      </c>
      <c r="L7" s="40">
        <v>337</v>
      </c>
      <c r="M7" s="41">
        <v>409</v>
      </c>
      <c r="N7" s="309">
        <v>346</v>
      </c>
      <c r="O7" s="288">
        <v>347</v>
      </c>
      <c r="P7" s="40">
        <v>345</v>
      </c>
      <c r="Q7" s="41">
        <v>374</v>
      </c>
      <c r="R7" s="309">
        <v>401</v>
      </c>
      <c r="S7" s="288">
        <v>388</v>
      </c>
      <c r="T7" s="40">
        <v>410</v>
      </c>
      <c r="U7" s="41">
        <v>408</v>
      </c>
      <c r="V7" s="309">
        <v>260</v>
      </c>
      <c r="W7" s="288">
        <v>284</v>
      </c>
      <c r="X7" s="40">
        <v>377</v>
      </c>
      <c r="Y7" s="41">
        <v>406</v>
      </c>
      <c r="Z7" s="309">
        <v>349</v>
      </c>
      <c r="AA7" s="288">
        <v>345</v>
      </c>
      <c r="AB7" s="40">
        <v>407</v>
      </c>
      <c r="AC7" s="41">
        <v>396</v>
      </c>
      <c r="AD7" s="309">
        <v>338</v>
      </c>
      <c r="AE7" s="288">
        <v>331</v>
      </c>
      <c r="AF7" s="40">
        <v>430</v>
      </c>
      <c r="AG7" s="41">
        <v>485</v>
      </c>
      <c r="AI7" s="42">
        <v>1164</v>
      </c>
      <c r="AJ7" s="42">
        <v>1191</v>
      </c>
      <c r="AK7" s="42">
        <v>1248</v>
      </c>
      <c r="AL7" s="42">
        <v>1412</v>
      </c>
      <c r="AM7" s="42">
        <v>1607</v>
      </c>
      <c r="AN7" s="42">
        <v>1327</v>
      </c>
      <c r="AO7" s="42">
        <v>1497</v>
      </c>
      <c r="AP7" s="42">
        <v>1584</v>
      </c>
    </row>
    <row r="8" spans="1:42" ht="18" customHeight="1" x14ac:dyDescent="0.35">
      <c r="A8" s="306" t="s">
        <v>240</v>
      </c>
      <c r="B8" s="309">
        <v>407</v>
      </c>
      <c r="C8" s="288">
        <v>419</v>
      </c>
      <c r="D8" s="40">
        <v>478</v>
      </c>
      <c r="E8" s="41">
        <v>483</v>
      </c>
      <c r="F8" s="309">
        <v>449</v>
      </c>
      <c r="G8" s="288">
        <v>499</v>
      </c>
      <c r="H8" s="40">
        <v>470</v>
      </c>
      <c r="I8" s="41">
        <v>457</v>
      </c>
      <c r="J8" s="309">
        <v>404</v>
      </c>
      <c r="K8" s="288">
        <v>453</v>
      </c>
      <c r="L8" s="40">
        <v>452</v>
      </c>
      <c r="M8" s="41">
        <v>394</v>
      </c>
      <c r="N8" s="309">
        <v>421</v>
      </c>
      <c r="O8" s="288">
        <v>416</v>
      </c>
      <c r="P8" s="40">
        <v>454</v>
      </c>
      <c r="Q8" s="41">
        <v>457</v>
      </c>
      <c r="R8" s="309">
        <v>496</v>
      </c>
      <c r="S8" s="288">
        <v>498</v>
      </c>
      <c r="T8" s="40">
        <v>518</v>
      </c>
      <c r="U8" s="41">
        <v>494</v>
      </c>
      <c r="V8" s="309">
        <v>529</v>
      </c>
      <c r="W8" s="288">
        <v>571</v>
      </c>
      <c r="X8" s="40">
        <v>559</v>
      </c>
      <c r="Y8" s="41">
        <v>455</v>
      </c>
      <c r="Z8" s="309">
        <v>399</v>
      </c>
      <c r="AA8" s="288">
        <v>438</v>
      </c>
      <c r="AB8" s="40">
        <v>451</v>
      </c>
      <c r="AC8" s="41">
        <v>409</v>
      </c>
      <c r="AD8" s="309">
        <v>315</v>
      </c>
      <c r="AE8" s="288">
        <v>320</v>
      </c>
      <c r="AF8" s="40">
        <v>327</v>
      </c>
      <c r="AG8" s="41">
        <v>334</v>
      </c>
      <c r="AI8" s="42">
        <v>1787</v>
      </c>
      <c r="AJ8" s="42">
        <v>1875</v>
      </c>
      <c r="AK8" s="42">
        <v>1703</v>
      </c>
      <c r="AL8" s="42">
        <v>1748</v>
      </c>
      <c r="AM8" s="42">
        <v>2006</v>
      </c>
      <c r="AN8" s="42">
        <v>2114</v>
      </c>
      <c r="AO8" s="42">
        <v>1697</v>
      </c>
      <c r="AP8" s="42">
        <v>1296</v>
      </c>
    </row>
    <row r="9" spans="1:42" ht="18" customHeight="1" x14ac:dyDescent="0.35">
      <c r="A9" s="306" t="s">
        <v>241</v>
      </c>
      <c r="B9" s="321">
        <v>0</v>
      </c>
      <c r="C9" s="320">
        <v>0</v>
      </c>
      <c r="D9" s="166">
        <v>0</v>
      </c>
      <c r="E9" s="137">
        <v>0</v>
      </c>
      <c r="F9" s="321"/>
      <c r="G9" s="320"/>
      <c r="H9" s="166"/>
      <c r="I9" s="41"/>
      <c r="J9" s="321"/>
      <c r="K9" s="320"/>
      <c r="L9" s="166"/>
      <c r="M9" s="41"/>
      <c r="N9" s="321"/>
      <c r="O9" s="320"/>
      <c r="P9" s="166"/>
      <c r="Q9" s="41"/>
      <c r="R9" s="321"/>
      <c r="S9" s="320"/>
      <c r="T9" s="166"/>
      <c r="U9" s="41"/>
      <c r="V9" s="321"/>
      <c r="W9" s="320"/>
      <c r="X9" s="166"/>
      <c r="Y9" s="41"/>
      <c r="Z9" s="321"/>
      <c r="AA9" s="320"/>
      <c r="AB9" s="166"/>
      <c r="AC9" s="41"/>
      <c r="AD9" s="321"/>
      <c r="AE9" s="320"/>
      <c r="AF9" s="166"/>
      <c r="AG9" s="41"/>
      <c r="AI9" s="576">
        <v>0</v>
      </c>
      <c r="AJ9" s="42"/>
      <c r="AK9" s="42"/>
      <c r="AL9" s="42"/>
      <c r="AM9" s="42"/>
      <c r="AN9" s="42"/>
      <c r="AO9" s="42"/>
      <c r="AP9" s="42"/>
    </row>
    <row r="10" spans="1:42" ht="18" customHeight="1" x14ac:dyDescent="0.35">
      <c r="A10" s="306" t="s">
        <v>358</v>
      </c>
      <c r="B10" s="309">
        <v>39</v>
      </c>
      <c r="C10" s="288">
        <v>36</v>
      </c>
      <c r="D10" s="40">
        <v>32</v>
      </c>
      <c r="E10" s="41">
        <v>29</v>
      </c>
      <c r="F10" s="321"/>
      <c r="G10" s="320"/>
      <c r="H10" s="320"/>
      <c r="I10" s="41"/>
      <c r="J10" s="321"/>
      <c r="K10" s="320"/>
      <c r="L10" s="320"/>
      <c r="M10" s="41"/>
      <c r="N10" s="321"/>
      <c r="O10" s="320"/>
      <c r="P10" s="320"/>
      <c r="Q10" s="41"/>
      <c r="R10" s="321"/>
      <c r="S10" s="320"/>
      <c r="T10" s="320"/>
      <c r="U10" s="41"/>
      <c r="V10" s="321"/>
      <c r="W10" s="320"/>
      <c r="X10" s="320"/>
      <c r="Y10" s="41"/>
      <c r="Z10" s="321"/>
      <c r="AA10" s="320"/>
      <c r="AB10" s="320"/>
      <c r="AC10" s="41"/>
      <c r="AD10" s="321"/>
      <c r="AE10" s="320"/>
      <c r="AF10" s="320"/>
      <c r="AG10" s="41"/>
      <c r="AI10" s="42">
        <v>136</v>
      </c>
      <c r="AJ10" s="42"/>
      <c r="AK10" s="42"/>
      <c r="AL10" s="42"/>
      <c r="AM10" s="42"/>
      <c r="AN10" s="42"/>
      <c r="AO10" s="42"/>
      <c r="AP10" s="42"/>
    </row>
    <row r="11" spans="1:42" ht="18" customHeight="1" thickBot="1" x14ac:dyDescent="0.45">
      <c r="A11" s="369" t="s">
        <v>242</v>
      </c>
      <c r="B11" s="224">
        <v>2269</v>
      </c>
      <c r="C11" s="289">
        <v>2290</v>
      </c>
      <c r="D11" s="94">
        <v>2445</v>
      </c>
      <c r="E11" s="54">
        <v>2403</v>
      </c>
      <c r="F11" s="224">
        <v>2094</v>
      </c>
      <c r="G11" s="289">
        <v>2217</v>
      </c>
      <c r="H11" s="94">
        <v>2265</v>
      </c>
      <c r="I11" s="54">
        <v>2301</v>
      </c>
      <c r="J11" s="224">
        <v>2021</v>
      </c>
      <c r="K11" s="289">
        <v>1817</v>
      </c>
      <c r="L11" s="94">
        <v>2267</v>
      </c>
      <c r="M11" s="54">
        <v>2507</v>
      </c>
      <c r="N11" s="224">
        <v>2567</v>
      </c>
      <c r="O11" s="289">
        <v>2596</v>
      </c>
      <c r="P11" s="94">
        <v>2861</v>
      </c>
      <c r="Q11" s="54">
        <v>3039</v>
      </c>
      <c r="R11" s="224">
        <v>3136</v>
      </c>
      <c r="S11" s="289">
        <v>3312</v>
      </c>
      <c r="T11" s="94">
        <v>3445</v>
      </c>
      <c r="U11" s="54">
        <v>3312</v>
      </c>
      <c r="V11" s="224">
        <v>3121</v>
      </c>
      <c r="W11" s="289">
        <v>3299</v>
      </c>
      <c r="X11" s="94">
        <v>3434</v>
      </c>
      <c r="Y11" s="54">
        <v>3422</v>
      </c>
      <c r="Z11" s="224">
        <v>3126</v>
      </c>
      <c r="AA11" s="289">
        <v>3127</v>
      </c>
      <c r="AB11" s="94">
        <v>3250</v>
      </c>
      <c r="AC11" s="54">
        <v>3111</v>
      </c>
      <c r="AD11" s="224">
        <v>2835</v>
      </c>
      <c r="AE11" s="289">
        <v>2926</v>
      </c>
      <c r="AF11" s="94">
        <v>3173</v>
      </c>
      <c r="AG11" s="54">
        <v>3335</v>
      </c>
      <c r="AI11" s="55">
        <v>9407</v>
      </c>
      <c r="AJ11" s="55">
        <v>8877</v>
      </c>
      <c r="AK11" s="55">
        <v>8612</v>
      </c>
      <c r="AL11" s="55">
        <v>11063</v>
      </c>
      <c r="AM11" s="55">
        <v>13205</v>
      </c>
      <c r="AN11" s="55">
        <v>13276</v>
      </c>
      <c r="AO11" s="55">
        <v>12614</v>
      </c>
      <c r="AP11" s="55">
        <v>12269</v>
      </c>
    </row>
    <row r="12" spans="1:42" x14ac:dyDescent="0.35">
      <c r="A12" s="4"/>
    </row>
    <row r="13" spans="1:42" x14ac:dyDescent="0.35">
      <c r="A13" s="310" t="s">
        <v>243</v>
      </c>
    </row>
    <row r="15" spans="1:42" ht="14.25" thickBot="1" x14ac:dyDescent="0.45">
      <c r="A15" s="1" t="s">
        <v>244</v>
      </c>
      <c r="AN15" s="338"/>
      <c r="AO15" s="338"/>
      <c r="AP15" t="s">
        <v>45</v>
      </c>
    </row>
    <row r="16" spans="1:42" ht="13.5" thickBot="1" x14ac:dyDescent="0.4">
      <c r="A16" s="8" t="s">
        <v>46</v>
      </c>
      <c r="N16" s="159" t="s">
        <v>59</v>
      </c>
      <c r="O16" s="160" t="s">
        <v>60</v>
      </c>
      <c r="P16" s="160" t="s">
        <v>61</v>
      </c>
      <c r="Q16" s="73" t="s">
        <v>62</v>
      </c>
      <c r="R16" s="159" t="s">
        <v>63</v>
      </c>
      <c r="S16" s="160" t="s">
        <v>64</v>
      </c>
      <c r="T16" s="160" t="str">
        <f>T4</f>
        <v>Q3 2022</v>
      </c>
      <c r="U16" s="73" t="s">
        <v>66</v>
      </c>
      <c r="V16" s="159" t="s">
        <v>67</v>
      </c>
      <c r="W16" s="160" t="s">
        <v>68</v>
      </c>
      <c r="X16" s="160" t="s">
        <v>69</v>
      </c>
      <c r="Y16" s="73" t="s">
        <v>70</v>
      </c>
      <c r="Z16" s="159" t="s">
        <v>71</v>
      </c>
      <c r="AA16" s="160" t="s">
        <v>72</v>
      </c>
      <c r="AB16" s="160" t="s">
        <v>73</v>
      </c>
      <c r="AC16" s="73" t="s">
        <v>74</v>
      </c>
      <c r="AD16" s="159" t="s">
        <v>75</v>
      </c>
      <c r="AE16" s="160" t="s">
        <v>76</v>
      </c>
      <c r="AF16" s="160" t="s">
        <v>77</v>
      </c>
      <c r="AG16" s="73" t="s">
        <v>78</v>
      </c>
      <c r="AL16" s="181">
        <v>2021</v>
      </c>
      <c r="AM16" s="181">
        <v>2022</v>
      </c>
      <c r="AN16" s="181">
        <v>2023</v>
      </c>
      <c r="AO16" s="181">
        <v>2024</v>
      </c>
      <c r="AP16" s="181">
        <v>2025</v>
      </c>
    </row>
    <row r="17" spans="1:42" x14ac:dyDescent="0.35">
      <c r="A17" s="306" t="s">
        <v>245</v>
      </c>
      <c r="N17" s="298">
        <v>1468</v>
      </c>
      <c r="O17" s="287">
        <v>1518</v>
      </c>
      <c r="P17" s="194">
        <v>1631</v>
      </c>
      <c r="Q17" s="308">
        <v>1708</v>
      </c>
      <c r="R17" s="298">
        <v>1680</v>
      </c>
      <c r="S17" s="287">
        <v>1829</v>
      </c>
      <c r="T17" s="194">
        <v>1876</v>
      </c>
      <c r="U17" s="308">
        <v>1876</v>
      </c>
      <c r="V17" s="298">
        <v>1491</v>
      </c>
      <c r="W17" s="287">
        <v>1679</v>
      </c>
      <c r="X17" s="194">
        <v>1947</v>
      </c>
      <c r="Y17" s="308">
        <v>2078</v>
      </c>
      <c r="Z17" s="298">
        <v>1739</v>
      </c>
      <c r="AA17" s="287">
        <v>1804</v>
      </c>
      <c r="AB17" s="194">
        <v>1897</v>
      </c>
      <c r="AC17" s="308">
        <v>1763</v>
      </c>
      <c r="AD17" s="298">
        <v>1524</v>
      </c>
      <c r="AE17" s="287">
        <v>1636</v>
      </c>
      <c r="AF17" s="194">
        <v>1866</v>
      </c>
      <c r="AG17" s="308">
        <v>2025</v>
      </c>
      <c r="AI17" s="43"/>
      <c r="AL17" s="42">
        <v>6325</v>
      </c>
      <c r="AM17" s="42">
        <v>7261</v>
      </c>
      <c r="AN17" s="42">
        <v>7195</v>
      </c>
      <c r="AO17" s="42">
        <v>7203</v>
      </c>
      <c r="AP17" s="42">
        <v>7051</v>
      </c>
    </row>
    <row r="18" spans="1:42" x14ac:dyDescent="0.35">
      <c r="A18" s="307" t="s">
        <v>355</v>
      </c>
      <c r="N18" s="309">
        <v>1064</v>
      </c>
      <c r="O18" s="288">
        <v>1040</v>
      </c>
      <c r="P18" s="40">
        <v>1191</v>
      </c>
      <c r="Q18" s="41">
        <v>1292</v>
      </c>
      <c r="R18" s="309">
        <v>1412</v>
      </c>
      <c r="S18" s="288">
        <v>1441</v>
      </c>
      <c r="T18" s="40">
        <v>1525</v>
      </c>
      <c r="U18" s="41">
        <v>1397</v>
      </c>
      <c r="V18" s="309">
        <v>1594</v>
      </c>
      <c r="W18" s="288">
        <v>1596</v>
      </c>
      <c r="X18" s="40">
        <v>1463</v>
      </c>
      <c r="Y18" s="41">
        <v>1310</v>
      </c>
      <c r="Z18" s="309">
        <v>1355</v>
      </c>
      <c r="AA18" s="288">
        <v>1294</v>
      </c>
      <c r="AB18" s="40">
        <v>1321</v>
      </c>
      <c r="AC18" s="41">
        <v>1321</v>
      </c>
      <c r="AD18" s="309">
        <v>1284</v>
      </c>
      <c r="AE18" s="288">
        <v>1257</v>
      </c>
      <c r="AF18" s="40">
        <v>1269</v>
      </c>
      <c r="AG18" s="41">
        <v>1274</v>
      </c>
      <c r="AI18" s="43"/>
      <c r="AL18" s="42">
        <v>4587</v>
      </c>
      <c r="AM18" s="42">
        <v>5775</v>
      </c>
      <c r="AN18" s="42">
        <v>5963</v>
      </c>
      <c r="AO18" s="42">
        <v>5291</v>
      </c>
      <c r="AP18" s="42">
        <v>5084</v>
      </c>
    </row>
    <row r="19" spans="1:42" x14ac:dyDescent="0.35">
      <c r="A19" s="306" t="s">
        <v>188</v>
      </c>
      <c r="N19" s="321">
        <v>35</v>
      </c>
      <c r="O19" s="320">
        <v>38</v>
      </c>
      <c r="P19" s="320">
        <v>39</v>
      </c>
      <c r="Q19" s="41">
        <v>39</v>
      </c>
      <c r="R19" s="321">
        <v>44</v>
      </c>
      <c r="S19" s="320">
        <v>42</v>
      </c>
      <c r="T19" s="320">
        <v>44</v>
      </c>
      <c r="U19" s="41">
        <v>39</v>
      </c>
      <c r="V19" s="321">
        <v>36</v>
      </c>
      <c r="W19" s="320">
        <v>24</v>
      </c>
      <c r="X19" s="320">
        <v>24</v>
      </c>
      <c r="Y19" s="41">
        <v>34</v>
      </c>
      <c r="Z19" s="321">
        <v>32</v>
      </c>
      <c r="AA19" s="320">
        <v>29</v>
      </c>
      <c r="AB19" s="320">
        <v>32</v>
      </c>
      <c r="AC19" s="41">
        <v>27</v>
      </c>
      <c r="AD19" s="321">
        <v>27</v>
      </c>
      <c r="AE19" s="320">
        <v>33</v>
      </c>
      <c r="AF19" s="320">
        <v>38</v>
      </c>
      <c r="AG19" s="41">
        <v>36</v>
      </c>
      <c r="AI19" s="43"/>
      <c r="AL19" s="42">
        <v>151</v>
      </c>
      <c r="AM19" s="42">
        <v>169</v>
      </c>
      <c r="AN19" s="42">
        <v>118</v>
      </c>
      <c r="AO19" s="42">
        <v>120</v>
      </c>
      <c r="AP19" s="42">
        <v>134</v>
      </c>
    </row>
    <row r="20" spans="1:42" ht="13.5" thickBot="1" x14ac:dyDescent="0.45">
      <c r="A20" s="369" t="s">
        <v>242</v>
      </c>
      <c r="N20" s="224">
        <v>2567</v>
      </c>
      <c r="O20" s="289">
        <v>2596</v>
      </c>
      <c r="P20" s="289">
        <v>2861</v>
      </c>
      <c r="Q20" s="54">
        <v>3039</v>
      </c>
      <c r="R20" s="224">
        <f>SUM(R17:R19)</f>
        <v>3136</v>
      </c>
      <c r="S20" s="289">
        <f>SUM(S17:S19)</f>
        <v>3312</v>
      </c>
      <c r="T20" s="289">
        <f>SUM(T17:T19)</f>
        <v>3445</v>
      </c>
      <c r="U20" s="54">
        <v>3312</v>
      </c>
      <c r="V20" s="224">
        <v>3121</v>
      </c>
      <c r="W20" s="289">
        <v>3299</v>
      </c>
      <c r="X20" s="289">
        <v>3434</v>
      </c>
      <c r="Y20" s="54">
        <v>3422</v>
      </c>
      <c r="Z20" s="224">
        <v>3126</v>
      </c>
      <c r="AA20" s="289">
        <v>3127</v>
      </c>
      <c r="AB20" s="289">
        <v>3250</v>
      </c>
      <c r="AC20" s="54">
        <v>3111</v>
      </c>
      <c r="AD20" s="224">
        <v>2835</v>
      </c>
      <c r="AE20" s="289">
        <v>2926</v>
      </c>
      <c r="AF20" s="289">
        <v>3173</v>
      </c>
      <c r="AG20" s="54">
        <v>3335</v>
      </c>
      <c r="AI20" s="43"/>
      <c r="AL20" s="55">
        <v>11063</v>
      </c>
      <c r="AM20" s="55">
        <v>13205</v>
      </c>
      <c r="AN20" s="55">
        <v>13276</v>
      </c>
      <c r="AO20" s="55">
        <v>12614</v>
      </c>
      <c r="AP20" s="55">
        <v>12269</v>
      </c>
    </row>
    <row r="22" spans="1:42" ht="16.350000000000001" customHeight="1" x14ac:dyDescent="0.35"/>
    <row r="23" spans="1:42" ht="14.25" thickBot="1" x14ac:dyDescent="0.45">
      <c r="A23" s="1" t="s">
        <v>359</v>
      </c>
      <c r="N23" s="1"/>
      <c r="O23" s="1"/>
      <c r="P23" s="1"/>
      <c r="Q23" s="1"/>
      <c r="AN23" s="338"/>
      <c r="AO23" s="338"/>
      <c r="AP23" t="s">
        <v>45</v>
      </c>
    </row>
    <row r="24" spans="1:42" ht="13.5" thickBot="1" x14ac:dyDescent="0.4">
      <c r="A24" s="8" t="s">
        <v>46</v>
      </c>
      <c r="B24" s="159" t="s">
        <v>47</v>
      </c>
      <c r="C24" s="160" t="s">
        <v>48</v>
      </c>
      <c r="D24" s="160" t="s">
        <v>49</v>
      </c>
      <c r="E24" s="73" t="s">
        <v>50</v>
      </c>
      <c r="F24" s="159" t="s">
        <v>51</v>
      </c>
      <c r="G24" s="160" t="s">
        <v>52</v>
      </c>
      <c r="H24" s="160" t="s">
        <v>53</v>
      </c>
      <c r="I24" s="73" t="s">
        <v>54</v>
      </c>
      <c r="J24" s="159" t="s">
        <v>55</v>
      </c>
      <c r="K24" s="160" t="s">
        <v>56</v>
      </c>
      <c r="L24" s="160" t="s">
        <v>57</v>
      </c>
      <c r="M24" s="73" t="s">
        <v>58</v>
      </c>
      <c r="N24" s="159" t="s">
        <v>59</v>
      </c>
      <c r="O24" s="160" t="s">
        <v>60</v>
      </c>
      <c r="P24" s="160" t="s">
        <v>61</v>
      </c>
      <c r="Q24" s="73" t="s">
        <v>62</v>
      </c>
      <c r="R24" s="159" t="s">
        <v>63</v>
      </c>
      <c r="S24" s="160" t="s">
        <v>64</v>
      </c>
      <c r="T24" s="160" t="s">
        <v>65</v>
      </c>
      <c r="U24" s="73" t="s">
        <v>66</v>
      </c>
      <c r="V24" s="159" t="s">
        <v>67</v>
      </c>
      <c r="W24" s="160" t="s">
        <v>68</v>
      </c>
      <c r="X24" s="160" t="s">
        <v>69</v>
      </c>
      <c r="Y24" s="73" t="s">
        <v>70</v>
      </c>
      <c r="Z24" s="159" t="s">
        <v>71</v>
      </c>
      <c r="AA24" s="160" t="s">
        <v>72</v>
      </c>
      <c r="AB24" s="160" t="s">
        <v>73</v>
      </c>
      <c r="AC24" s="73" t="s">
        <v>74</v>
      </c>
      <c r="AD24" s="159" t="s">
        <v>75</v>
      </c>
      <c r="AE24" s="160" t="s">
        <v>76</v>
      </c>
      <c r="AF24" s="160" t="s">
        <v>77</v>
      </c>
      <c r="AG24" s="73" t="s">
        <v>78</v>
      </c>
      <c r="AI24" s="181">
        <v>2018</v>
      </c>
      <c r="AJ24" s="181">
        <v>2019</v>
      </c>
      <c r="AK24" s="181">
        <v>2020</v>
      </c>
      <c r="AL24" s="181">
        <v>2021</v>
      </c>
      <c r="AM24" s="181">
        <v>2022</v>
      </c>
      <c r="AN24" s="181">
        <v>2023</v>
      </c>
      <c r="AO24" s="181">
        <v>2024</v>
      </c>
      <c r="AP24" s="181">
        <v>2025</v>
      </c>
    </row>
    <row r="25" spans="1:42" x14ac:dyDescent="0.35">
      <c r="A25" s="307" t="s">
        <v>247</v>
      </c>
      <c r="B25" s="309">
        <v>637</v>
      </c>
      <c r="C25" s="288">
        <v>659</v>
      </c>
      <c r="D25" s="288">
        <v>637</v>
      </c>
      <c r="E25" s="41">
        <v>667</v>
      </c>
      <c r="F25" s="309">
        <v>585</v>
      </c>
      <c r="G25" s="288">
        <v>595</v>
      </c>
      <c r="H25" s="288">
        <v>589</v>
      </c>
      <c r="I25" s="41">
        <v>634</v>
      </c>
      <c r="J25" s="309">
        <v>558</v>
      </c>
      <c r="K25" s="288">
        <v>532</v>
      </c>
      <c r="L25" s="288">
        <v>616</v>
      </c>
      <c r="M25" s="41">
        <v>706</v>
      </c>
      <c r="N25" s="309">
        <v>774</v>
      </c>
      <c r="O25" s="288">
        <v>786</v>
      </c>
      <c r="P25" s="288">
        <v>861</v>
      </c>
      <c r="Q25" s="41">
        <v>901</v>
      </c>
      <c r="R25" s="309">
        <v>893</v>
      </c>
      <c r="S25" s="288">
        <v>979</v>
      </c>
      <c r="T25" s="288">
        <v>931</v>
      </c>
      <c r="U25" s="41">
        <v>994</v>
      </c>
      <c r="V25" s="309">
        <v>874</v>
      </c>
      <c r="W25" s="288">
        <v>969</v>
      </c>
      <c r="X25" s="288">
        <v>1028</v>
      </c>
      <c r="Y25" s="41">
        <v>1036</v>
      </c>
      <c r="Z25" s="309">
        <v>964</v>
      </c>
      <c r="AA25" s="288">
        <v>972</v>
      </c>
      <c r="AB25" s="288">
        <v>938</v>
      </c>
      <c r="AC25" s="41">
        <v>920</v>
      </c>
      <c r="AD25" s="309">
        <v>828</v>
      </c>
      <c r="AE25" s="288">
        <v>866</v>
      </c>
      <c r="AF25" s="288">
        <v>939</v>
      </c>
      <c r="AG25" s="41">
        <v>948</v>
      </c>
      <c r="AI25" s="42">
        <v>2600</v>
      </c>
      <c r="AJ25" s="42">
        <v>2403</v>
      </c>
      <c r="AK25" s="42">
        <v>2412</v>
      </c>
      <c r="AL25" s="42">
        <v>3322</v>
      </c>
      <c r="AM25" s="42">
        <v>3797</v>
      </c>
      <c r="AN25" s="42">
        <v>3907</v>
      </c>
      <c r="AO25" s="42">
        <v>3794</v>
      </c>
      <c r="AP25" s="42">
        <v>3581</v>
      </c>
    </row>
    <row r="26" spans="1:42" x14ac:dyDescent="0.35">
      <c r="A26" s="306" t="s">
        <v>249</v>
      </c>
      <c r="B26" s="309">
        <v>570</v>
      </c>
      <c r="C26" s="288">
        <v>558</v>
      </c>
      <c r="D26" s="288">
        <v>642</v>
      </c>
      <c r="E26" s="41">
        <v>629</v>
      </c>
      <c r="F26" s="309">
        <v>515</v>
      </c>
      <c r="G26" s="288">
        <v>520</v>
      </c>
      <c r="H26" s="288">
        <v>594</v>
      </c>
      <c r="I26" s="41">
        <v>598</v>
      </c>
      <c r="J26" s="309">
        <v>517</v>
      </c>
      <c r="K26" s="288">
        <v>477</v>
      </c>
      <c r="L26" s="288">
        <v>654</v>
      </c>
      <c r="M26" s="41">
        <v>750</v>
      </c>
      <c r="N26" s="309">
        <v>682</v>
      </c>
      <c r="O26" s="288">
        <v>683</v>
      </c>
      <c r="P26" s="288">
        <v>765</v>
      </c>
      <c r="Q26" s="41">
        <v>841</v>
      </c>
      <c r="R26" s="309">
        <v>851</v>
      </c>
      <c r="S26" s="288">
        <v>817</v>
      </c>
      <c r="T26" s="288">
        <v>1007</v>
      </c>
      <c r="U26" s="41">
        <v>903</v>
      </c>
      <c r="V26" s="309">
        <v>803</v>
      </c>
      <c r="W26" s="288">
        <v>816</v>
      </c>
      <c r="X26" s="288">
        <v>925</v>
      </c>
      <c r="Y26" s="41">
        <v>920</v>
      </c>
      <c r="Z26" s="309">
        <v>797</v>
      </c>
      <c r="AA26" s="288">
        <v>806</v>
      </c>
      <c r="AB26" s="288">
        <v>979</v>
      </c>
      <c r="AC26" s="41">
        <v>889</v>
      </c>
      <c r="AD26" s="309">
        <v>749</v>
      </c>
      <c r="AE26" s="288">
        <v>738</v>
      </c>
      <c r="AF26" s="288">
        <v>922</v>
      </c>
      <c r="AG26" s="41">
        <v>967</v>
      </c>
      <c r="AI26" s="42">
        <v>2399</v>
      </c>
      <c r="AJ26" s="42">
        <v>2227</v>
      </c>
      <c r="AK26" s="42">
        <v>2398</v>
      </c>
      <c r="AL26" s="42">
        <v>2971</v>
      </c>
      <c r="AM26" s="42">
        <v>3578</v>
      </c>
      <c r="AN26" s="42">
        <v>3464</v>
      </c>
      <c r="AO26" s="42">
        <v>3471</v>
      </c>
      <c r="AP26" s="42">
        <v>3376</v>
      </c>
    </row>
    <row r="27" spans="1:42" x14ac:dyDescent="0.35">
      <c r="A27" s="307" t="s">
        <v>248</v>
      </c>
      <c r="B27" s="309">
        <v>780</v>
      </c>
      <c r="C27" s="288">
        <v>758</v>
      </c>
      <c r="D27" s="288">
        <v>778</v>
      </c>
      <c r="E27" s="41">
        <v>745</v>
      </c>
      <c r="F27" s="309">
        <v>688</v>
      </c>
      <c r="G27" s="288">
        <v>677</v>
      </c>
      <c r="H27" s="288">
        <v>697</v>
      </c>
      <c r="I27" s="41">
        <v>669</v>
      </c>
      <c r="J27" s="309">
        <v>652</v>
      </c>
      <c r="K27" s="288">
        <v>471</v>
      </c>
      <c r="L27" s="288">
        <v>654</v>
      </c>
      <c r="M27" s="41">
        <v>722</v>
      </c>
      <c r="N27" s="309">
        <v>722</v>
      </c>
      <c r="O27" s="288">
        <v>695</v>
      </c>
      <c r="P27" s="288">
        <v>793</v>
      </c>
      <c r="Q27" s="41">
        <v>855</v>
      </c>
      <c r="R27" s="309">
        <v>928</v>
      </c>
      <c r="S27" s="288">
        <v>963</v>
      </c>
      <c r="T27" s="288">
        <v>977</v>
      </c>
      <c r="U27" s="41">
        <v>945</v>
      </c>
      <c r="V27" s="309">
        <v>1050</v>
      </c>
      <c r="W27" s="288">
        <v>1097</v>
      </c>
      <c r="X27" s="288">
        <v>1061</v>
      </c>
      <c r="Y27" s="41">
        <v>933</v>
      </c>
      <c r="Z27" s="309">
        <v>947</v>
      </c>
      <c r="AA27" s="288">
        <v>867</v>
      </c>
      <c r="AB27" s="288">
        <v>843</v>
      </c>
      <c r="AC27" s="41">
        <v>771</v>
      </c>
      <c r="AD27" s="309">
        <v>792</v>
      </c>
      <c r="AE27" s="288">
        <v>820</v>
      </c>
      <c r="AF27" s="288">
        <v>812</v>
      </c>
      <c r="AG27" s="41">
        <v>852</v>
      </c>
      <c r="AI27" s="42">
        <v>3061</v>
      </c>
      <c r="AJ27" s="42">
        <v>2731</v>
      </c>
      <c r="AK27" s="42">
        <v>2499</v>
      </c>
      <c r="AL27" s="42">
        <v>3065</v>
      </c>
      <c r="AM27" s="42">
        <v>3813</v>
      </c>
      <c r="AN27" s="42">
        <v>4141</v>
      </c>
      <c r="AO27" s="42">
        <v>3428</v>
      </c>
      <c r="AP27" s="42">
        <v>3276</v>
      </c>
    </row>
    <row r="28" spans="1:42" x14ac:dyDescent="0.35">
      <c r="A28" s="306" t="s">
        <v>246</v>
      </c>
      <c r="B28" s="321">
        <v>282</v>
      </c>
      <c r="C28" s="320">
        <v>315</v>
      </c>
      <c r="D28" s="320">
        <v>388</v>
      </c>
      <c r="E28" s="41">
        <v>362</v>
      </c>
      <c r="F28" s="321">
        <v>306</v>
      </c>
      <c r="G28" s="320">
        <v>425</v>
      </c>
      <c r="H28" s="320">
        <v>385</v>
      </c>
      <c r="I28" s="41">
        <v>400</v>
      </c>
      <c r="J28" s="321">
        <v>294</v>
      </c>
      <c r="K28" s="320">
        <v>337</v>
      </c>
      <c r="L28" s="320">
        <v>343</v>
      </c>
      <c r="M28" s="41">
        <v>329</v>
      </c>
      <c r="N28" s="321">
        <v>389</v>
      </c>
      <c r="O28" s="320">
        <v>432</v>
      </c>
      <c r="P28" s="320">
        <v>442</v>
      </c>
      <c r="Q28" s="41">
        <v>442</v>
      </c>
      <c r="R28" s="321">
        <v>464</v>
      </c>
      <c r="S28" s="320">
        <v>553</v>
      </c>
      <c r="T28" s="320">
        <v>530</v>
      </c>
      <c r="U28" s="41">
        <v>470</v>
      </c>
      <c r="V28" s="321">
        <v>394</v>
      </c>
      <c r="W28" s="320">
        <v>417</v>
      </c>
      <c r="X28" s="320">
        <v>420</v>
      </c>
      <c r="Y28" s="41">
        <v>533</v>
      </c>
      <c r="Z28" s="321">
        <v>418</v>
      </c>
      <c r="AA28" s="320">
        <v>482</v>
      </c>
      <c r="AB28" s="320">
        <v>490</v>
      </c>
      <c r="AC28" s="41">
        <v>531</v>
      </c>
      <c r="AD28" s="321">
        <v>466</v>
      </c>
      <c r="AE28" s="320">
        <v>502</v>
      </c>
      <c r="AF28" s="320">
        <v>500</v>
      </c>
      <c r="AG28" s="41">
        <v>568</v>
      </c>
      <c r="AI28" s="42">
        <v>1347</v>
      </c>
      <c r="AJ28" s="42">
        <v>1516</v>
      </c>
      <c r="AK28" s="42">
        <v>1303</v>
      </c>
      <c r="AL28" s="42">
        <v>1705</v>
      </c>
      <c r="AM28" s="42">
        <v>2017</v>
      </c>
      <c r="AN28" s="42">
        <v>1764</v>
      </c>
      <c r="AO28" s="42">
        <v>1921</v>
      </c>
      <c r="AP28" s="42">
        <v>2036</v>
      </c>
    </row>
    <row r="29" spans="1:42" ht="13.5" thickBot="1" x14ac:dyDescent="0.45">
      <c r="A29" s="369" t="s">
        <v>242</v>
      </c>
      <c r="B29" s="224">
        <v>2269</v>
      </c>
      <c r="C29" s="289">
        <v>2290</v>
      </c>
      <c r="D29" s="289">
        <v>2445</v>
      </c>
      <c r="E29" s="54">
        <v>2403</v>
      </c>
      <c r="F29" s="224">
        <v>2094</v>
      </c>
      <c r="G29" s="289">
        <v>2217</v>
      </c>
      <c r="H29" s="289">
        <v>2265</v>
      </c>
      <c r="I29" s="54">
        <v>2301</v>
      </c>
      <c r="J29" s="224">
        <v>2021</v>
      </c>
      <c r="K29" s="289">
        <v>1817</v>
      </c>
      <c r="L29" s="289">
        <v>2267</v>
      </c>
      <c r="M29" s="54">
        <v>2507</v>
      </c>
      <c r="N29" s="224">
        <v>2567</v>
      </c>
      <c r="O29" s="289">
        <v>2596</v>
      </c>
      <c r="P29" s="289">
        <v>2861</v>
      </c>
      <c r="Q29" s="54">
        <v>3039</v>
      </c>
      <c r="R29" s="224">
        <v>3136</v>
      </c>
      <c r="S29" s="289">
        <v>3312</v>
      </c>
      <c r="T29" s="289">
        <v>3445</v>
      </c>
      <c r="U29" s="54">
        <v>3312</v>
      </c>
      <c r="V29" s="224">
        <v>3121</v>
      </c>
      <c r="W29" s="289">
        <v>3299</v>
      </c>
      <c r="X29" s="289">
        <v>3434</v>
      </c>
      <c r="Y29" s="54">
        <v>3422</v>
      </c>
      <c r="Z29" s="224">
        <v>3126</v>
      </c>
      <c r="AA29" s="289">
        <v>3127</v>
      </c>
      <c r="AB29" s="289">
        <v>3250</v>
      </c>
      <c r="AC29" s="54">
        <v>3111</v>
      </c>
      <c r="AD29" s="224">
        <v>2835</v>
      </c>
      <c r="AE29" s="289">
        <v>2926</v>
      </c>
      <c r="AF29" s="289">
        <v>3173</v>
      </c>
      <c r="AG29" s="54">
        <v>3335</v>
      </c>
      <c r="AI29" s="55">
        <v>9407</v>
      </c>
      <c r="AJ29" s="55">
        <v>8877</v>
      </c>
      <c r="AK29" s="55">
        <v>8612</v>
      </c>
      <c r="AL29" s="55">
        <v>11063</v>
      </c>
      <c r="AM29" s="55">
        <v>13205</v>
      </c>
      <c r="AN29" s="55">
        <v>13276</v>
      </c>
      <c r="AO29" s="55">
        <v>12614</v>
      </c>
      <c r="AP29" s="55">
        <v>12269</v>
      </c>
    </row>
    <row r="30" spans="1:42" x14ac:dyDescent="0.35">
      <c r="O30" s="288"/>
      <c r="P30" s="40"/>
    </row>
    <row r="31" spans="1:42" x14ac:dyDescent="0.35">
      <c r="A31" s="574" t="s">
        <v>356</v>
      </c>
      <c r="B31" s="575"/>
      <c r="C31" s="575"/>
      <c r="D31" s="575"/>
      <c r="E31" s="575"/>
      <c r="F31" s="575"/>
      <c r="G31" s="575"/>
      <c r="H31" s="575"/>
      <c r="I31" s="575"/>
      <c r="J31" s="575"/>
      <c r="K31" s="575"/>
      <c r="L31" s="575"/>
      <c r="M31" s="575"/>
      <c r="N31" s="575"/>
      <c r="O31" s="575"/>
      <c r="P31" s="575"/>
      <c r="Q31" s="575"/>
      <c r="R31" s="575"/>
      <c r="S31" s="575"/>
    </row>
    <row r="32" spans="1:42" x14ac:dyDescent="0.35">
      <c r="A32" s="575" t="s">
        <v>357</v>
      </c>
      <c r="B32" s="575"/>
      <c r="C32" s="575"/>
      <c r="D32" s="575"/>
      <c r="E32" s="575"/>
      <c r="F32" s="575"/>
      <c r="G32" s="575"/>
      <c r="H32" s="575"/>
      <c r="I32" s="575"/>
      <c r="J32" s="575"/>
      <c r="K32" s="575"/>
      <c r="L32" s="575"/>
      <c r="M32" s="575"/>
      <c r="N32" s="575"/>
      <c r="O32" s="575"/>
      <c r="P32" s="575"/>
      <c r="Q32" s="575"/>
      <c r="R32" s="575"/>
      <c r="S32" s="575"/>
    </row>
    <row r="33" spans="1:35" x14ac:dyDescent="0.35">
      <c r="A33" s="575" t="s">
        <v>360</v>
      </c>
      <c r="B33" s="575"/>
      <c r="C33" s="575"/>
      <c r="D33" s="575"/>
      <c r="E33" s="575"/>
      <c r="F33" s="575"/>
      <c r="G33" s="575"/>
      <c r="H33" s="575"/>
      <c r="I33" s="575"/>
      <c r="J33" s="575"/>
      <c r="K33" s="575"/>
      <c r="L33" s="575"/>
      <c r="M33" s="575"/>
      <c r="N33" s="575"/>
      <c r="O33" s="575"/>
      <c r="P33" s="575"/>
      <c r="Q33" s="575"/>
      <c r="R33" s="575"/>
      <c r="S33" s="575"/>
    </row>
    <row r="34" spans="1:35" x14ac:dyDescent="0.35">
      <c r="A34" s="577"/>
      <c r="B34" s="577"/>
      <c r="C34" s="577"/>
      <c r="D34" s="577"/>
      <c r="E34" s="577"/>
      <c r="F34" s="577"/>
      <c r="G34" s="577"/>
      <c r="H34" s="577"/>
      <c r="I34" s="575"/>
      <c r="J34" s="575"/>
      <c r="K34" s="575"/>
      <c r="L34" s="575"/>
      <c r="M34" s="575"/>
      <c r="N34" s="575"/>
      <c r="O34" s="575"/>
      <c r="P34" s="575"/>
      <c r="Q34" s="575"/>
      <c r="R34" s="575"/>
      <c r="S34" s="575"/>
    </row>
    <row r="35" spans="1:35" x14ac:dyDescent="0.35">
      <c r="O35" s="43"/>
      <c r="P35" s="43"/>
    </row>
    <row r="36" spans="1:35" ht="14.25" customHeight="1" x14ac:dyDescent="0.4">
      <c r="A36" s="570"/>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I36" s="72"/>
    </row>
    <row r="38" spans="1:35" ht="13.9" hidden="1" x14ac:dyDescent="0.35">
      <c r="A38" s="177" t="s">
        <v>253</v>
      </c>
    </row>
    <row r="39" spans="1:35" ht="13.9" hidden="1" x14ac:dyDescent="0.4">
      <c r="A39" s="1" t="s">
        <v>250</v>
      </c>
    </row>
    <row r="40" spans="1:35" ht="13.5" hidden="1" thickBot="1" x14ac:dyDescent="0.45">
      <c r="A40" s="8" t="s">
        <v>46</v>
      </c>
      <c r="B40" s="231"/>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
      <c r="AI40" s="231"/>
    </row>
    <row r="41" spans="1:35" hidden="1" x14ac:dyDescent="0.35">
      <c r="A41" s="4" t="s">
        <v>251</v>
      </c>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43"/>
      <c r="AI41" s="35"/>
    </row>
    <row r="42" spans="1:35" ht="7.5" hidden="1" customHeight="1" x14ac:dyDescent="0.35">
      <c r="A42" s="4"/>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43"/>
      <c r="AI42" s="35"/>
    </row>
    <row r="43" spans="1:35" hidden="1" x14ac:dyDescent="0.35">
      <c r="A43" s="4" t="s">
        <v>254</v>
      </c>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43"/>
      <c r="AI43" s="35"/>
    </row>
    <row r="44" spans="1:35" ht="7.5" hidden="1" customHeight="1" x14ac:dyDescent="0.35">
      <c r="A44" s="4"/>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43"/>
      <c r="AI44" s="35"/>
    </row>
    <row r="45" spans="1:35" hidden="1" x14ac:dyDescent="0.35">
      <c r="A45" s="4" t="s">
        <v>255</v>
      </c>
      <c r="B45" s="141"/>
      <c r="C45" s="141"/>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43"/>
      <c r="AI45" s="141"/>
    </row>
    <row r="46" spans="1:35" ht="7.5" hidden="1" customHeight="1" x14ac:dyDescent="0.35">
      <c r="A46" s="4"/>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43"/>
      <c r="AI46" s="35"/>
    </row>
    <row r="47" spans="1:35" hidden="1" x14ac:dyDescent="0.35">
      <c r="A47" s="4" t="s">
        <v>256</v>
      </c>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43"/>
      <c r="AI47" s="35"/>
    </row>
    <row r="48" spans="1:35" ht="5.25" hidden="1" customHeight="1" x14ac:dyDescent="0.35">
      <c r="A48" s="4"/>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43"/>
      <c r="AI48" s="35"/>
    </row>
    <row r="49" spans="1:62" ht="13.5" hidden="1" thickBot="1" x14ac:dyDescent="0.4">
      <c r="A49" s="569" t="s">
        <v>252</v>
      </c>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43"/>
      <c r="AI49" s="76"/>
    </row>
    <row r="50" spans="1:62" hidden="1" x14ac:dyDescent="0.35"/>
    <row r="51" spans="1:62" ht="13.35" customHeight="1" x14ac:dyDescent="0.35">
      <c r="AW51" s="573"/>
      <c r="AX51" s="573"/>
      <c r="AY51" s="573"/>
      <c r="AZ51" s="573"/>
      <c r="BA51" s="573"/>
      <c r="BB51" s="573"/>
      <c r="BC51" s="573"/>
      <c r="BD51" s="573"/>
      <c r="BE51" s="573"/>
      <c r="BF51" s="573"/>
      <c r="BG51" s="573"/>
      <c r="BH51" s="573"/>
      <c r="BI51" s="573"/>
      <c r="BJ51" s="573"/>
    </row>
    <row r="52" spans="1:62" x14ac:dyDescent="0.35">
      <c r="AW52" s="573"/>
      <c r="AX52" s="573"/>
      <c r="AY52" s="573"/>
      <c r="AZ52" s="573"/>
      <c r="BA52" s="573"/>
      <c r="BB52" s="573"/>
      <c r="BC52" s="573"/>
      <c r="BD52" s="573"/>
      <c r="BE52" s="573"/>
      <c r="BF52" s="573"/>
      <c r="BG52" s="573"/>
      <c r="BH52" s="573"/>
      <c r="BI52" s="573"/>
      <c r="BJ52" s="573"/>
    </row>
    <row r="53" spans="1:62" x14ac:dyDescent="0.35">
      <c r="AW53" s="573"/>
      <c r="AX53" s="573"/>
      <c r="AY53" s="573"/>
      <c r="AZ53" s="573"/>
      <c r="BA53" s="573"/>
      <c r="BB53" s="573"/>
      <c r="BC53" s="573"/>
      <c r="BD53" s="573"/>
      <c r="BE53" s="573"/>
      <c r="BF53" s="573"/>
      <c r="BG53" s="573"/>
      <c r="BH53" s="573"/>
      <c r="BI53" s="573"/>
      <c r="BJ53" s="573"/>
    </row>
    <row r="54" spans="1:62" x14ac:dyDescent="0.35">
      <c r="AW54" s="573"/>
      <c r="AX54" s="573"/>
      <c r="AY54" s="573"/>
      <c r="AZ54" s="573"/>
      <c r="BA54" s="573"/>
      <c r="BB54" s="573"/>
      <c r="BC54" s="573"/>
      <c r="BD54" s="573"/>
      <c r="BE54" s="573"/>
      <c r="BF54" s="573"/>
      <c r="BG54" s="573"/>
      <c r="BH54" s="573"/>
      <c r="BI54" s="573"/>
      <c r="BJ54" s="573"/>
    </row>
  </sheetData>
  <mergeCells count="1">
    <mergeCell ref="A34:H34"/>
  </mergeCells>
  <pageMargins left="0.2" right="0.2" top="0.5" bottom="0.5" header="0" footer="0"/>
  <pageSetup scale="32"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W151"/>
  <sheetViews>
    <sheetView zoomScale="85" zoomScaleNormal="85" workbookViewId="0">
      <pane xSplit="1" ySplit="4" topLeftCell="B43" activePane="bottomRight" state="frozen"/>
      <selection pane="topRight" activeCell="N50" sqref="N50"/>
      <selection pane="bottomLeft" activeCell="N50" sqref="N50"/>
      <selection pane="bottomRight" activeCell="V1" sqref="A1:V1048576"/>
    </sheetView>
  </sheetViews>
  <sheetFormatPr defaultRowHeight="12.75" outlineLevelCol="1" x14ac:dyDescent="0.35"/>
  <cols>
    <col min="1" max="1" width="45.265625" customWidth="1"/>
    <col min="2" max="6" width="9.1328125" customWidth="1" outlineLevel="1"/>
    <col min="7" max="7" width="9" customWidth="1" outlineLevel="1"/>
    <col min="8" max="10" width="9.1328125" customWidth="1" outlineLevel="1"/>
    <col min="11" max="11" width="9" customWidth="1" outlineLevel="1"/>
    <col min="12" max="14" width="9.1328125" customWidth="1" outlineLevel="1"/>
    <col min="15" max="15" width="9" customWidth="1" outlineLevel="1"/>
    <col min="16" max="18" width="9.1328125" customWidth="1" outlineLevel="1"/>
    <col min="19" max="19" width="9" customWidth="1" outlineLevel="1"/>
    <col min="20" max="22" width="9.1328125" customWidth="1" outlineLevel="1"/>
    <col min="23" max="23" width="9" customWidth="1" outlineLevel="1"/>
    <col min="24" max="24" width="9.1328125" customWidth="1" outlineLevel="1"/>
    <col min="25" max="25" width="0.1328125" customWidth="1" outlineLevel="1"/>
    <col min="26" max="34" width="9.1328125" customWidth="1" outlineLevel="1"/>
    <col min="35" max="35" width="2.3984375" customWidth="1"/>
    <col min="36" max="36" width="2.73046875" customWidth="1"/>
    <col min="37" max="40" width="9.1328125" hidden="1" customWidth="1" outlineLevel="1"/>
    <col min="41" max="41" width="8.86328125" hidden="1" customWidth="1" outlineLevel="1"/>
    <col min="42" max="42" width="1.86328125" hidden="1" customWidth="1" outlineLevel="1"/>
    <col min="43" max="43" width="8.73046875" customWidth="1" collapsed="1"/>
    <col min="44" max="44" width="8.73046875" customWidth="1"/>
    <col min="46" max="46" width="35.1328125" customWidth="1"/>
    <col min="48" max="48" width="8.86328125" style="563"/>
  </cols>
  <sheetData>
    <row r="1" spans="1:49" s="96" customFormat="1" ht="13.9" x14ac:dyDescent="0.4">
      <c r="A1" s="95" t="s">
        <v>43</v>
      </c>
      <c r="AV1" s="565"/>
    </row>
    <row r="2" spans="1:49" s="96" customFormat="1" ht="14.25" thickBot="1" x14ac:dyDescent="0.45">
      <c r="A2" s="95" t="s">
        <v>257</v>
      </c>
      <c r="AS2" s="96" t="s">
        <v>45</v>
      </c>
      <c r="AV2" s="565"/>
    </row>
    <row r="3" spans="1:49" ht="13.5" thickBot="1" x14ac:dyDescent="0.45">
      <c r="A3" s="8" t="s">
        <v>46</v>
      </c>
      <c r="B3" s="159" t="s">
        <v>47</v>
      </c>
      <c r="C3" s="160" t="s">
        <v>48</v>
      </c>
      <c r="D3" s="160" t="s">
        <v>49</v>
      </c>
      <c r="E3" s="73" t="s">
        <v>50</v>
      </c>
      <c r="F3" s="159" t="s">
        <v>51</v>
      </c>
      <c r="G3" s="160" t="s">
        <v>52</v>
      </c>
      <c r="H3" s="160" t="s">
        <v>53</v>
      </c>
      <c r="I3" s="73" t="s">
        <v>54</v>
      </c>
      <c r="J3" s="159" t="s">
        <v>55</v>
      </c>
      <c r="K3" s="160" t="s">
        <v>56</v>
      </c>
      <c r="L3" s="160" t="s">
        <v>57</v>
      </c>
      <c r="M3" s="73" t="s">
        <v>58</v>
      </c>
      <c r="N3" s="159" t="s">
        <v>59</v>
      </c>
      <c r="O3" s="160" t="s">
        <v>60</v>
      </c>
      <c r="P3" s="160" t="s">
        <v>61</v>
      </c>
      <c r="Q3" s="73" t="s">
        <v>62</v>
      </c>
      <c r="R3" s="159" t="s">
        <v>63</v>
      </c>
      <c r="S3" s="160" t="s">
        <v>64</v>
      </c>
      <c r="T3" s="160" t="s">
        <v>65</v>
      </c>
      <c r="U3" s="73" t="s">
        <v>66</v>
      </c>
      <c r="V3" s="159" t="s">
        <v>67</v>
      </c>
      <c r="W3" s="160" t="s">
        <v>68</v>
      </c>
      <c r="X3" s="447" t="s">
        <v>69</v>
      </c>
      <c r="Y3" s="495"/>
      <c r="Z3" s="460" t="s">
        <v>70</v>
      </c>
      <c r="AA3" s="159" t="s">
        <v>71</v>
      </c>
      <c r="AB3" s="160" t="s">
        <v>72</v>
      </c>
      <c r="AC3" s="160" t="s">
        <v>73</v>
      </c>
      <c r="AD3" s="73" t="s">
        <v>74</v>
      </c>
      <c r="AE3" s="73" t="s">
        <v>75</v>
      </c>
      <c r="AF3" s="160" t="s">
        <v>76</v>
      </c>
      <c r="AG3" s="160" t="s">
        <v>77</v>
      </c>
      <c r="AH3" s="73" t="s">
        <v>78</v>
      </c>
      <c r="AJ3" s="2"/>
      <c r="AK3" s="181">
        <v>2018</v>
      </c>
      <c r="AL3" s="181">
        <v>2019</v>
      </c>
      <c r="AM3" s="181">
        <v>2020</v>
      </c>
      <c r="AN3" s="181">
        <v>2021</v>
      </c>
      <c r="AO3" s="471">
        <v>2022</v>
      </c>
      <c r="AP3" s="495"/>
      <c r="AQ3" s="460">
        <v>2023</v>
      </c>
      <c r="AR3" s="460">
        <v>2024</v>
      </c>
      <c r="AS3" s="460">
        <v>2025</v>
      </c>
      <c r="AV3" s="566"/>
    </row>
    <row r="4" spans="1:49" x14ac:dyDescent="0.35">
      <c r="B4" s="125"/>
      <c r="D4" s="117"/>
      <c r="E4" s="142"/>
      <c r="F4" s="125"/>
      <c r="H4" s="117"/>
      <c r="I4" s="142"/>
      <c r="J4" s="125"/>
      <c r="L4" s="117"/>
      <c r="M4" s="142"/>
      <c r="N4" s="125"/>
      <c r="P4" s="117"/>
      <c r="Q4" s="142"/>
      <c r="R4" s="125"/>
      <c r="T4" s="117"/>
      <c r="U4" s="142"/>
      <c r="V4" s="125"/>
      <c r="X4" s="448"/>
      <c r="Y4" s="496"/>
      <c r="Z4" s="53"/>
      <c r="AA4" s="125"/>
      <c r="AC4" s="117"/>
      <c r="AD4" s="142"/>
      <c r="AE4" s="125"/>
      <c r="AG4" s="117"/>
      <c r="AH4" s="142"/>
      <c r="AK4" s="135"/>
      <c r="AL4" s="135"/>
      <c r="AM4" s="135"/>
      <c r="AN4" s="135"/>
      <c r="AO4" s="27"/>
      <c r="AP4" s="496"/>
      <c r="AQ4" s="38"/>
      <c r="AR4" s="38"/>
      <c r="AS4" s="38"/>
      <c r="AV4" s="566"/>
    </row>
    <row r="5" spans="1:49" x14ac:dyDescent="0.35">
      <c r="A5" s="107" t="s">
        <v>79</v>
      </c>
      <c r="B5" s="126">
        <v>2269</v>
      </c>
      <c r="C5" s="274">
        <v>2290</v>
      </c>
      <c r="D5" s="118">
        <v>2445</v>
      </c>
      <c r="E5" s="143">
        <v>2403</v>
      </c>
      <c r="F5" s="126">
        <v>2094</v>
      </c>
      <c r="G5" s="274">
        <v>2217</v>
      </c>
      <c r="H5" s="118">
        <v>2265</v>
      </c>
      <c r="I5" s="143">
        <v>2301</v>
      </c>
      <c r="J5" s="126">
        <v>2021</v>
      </c>
      <c r="K5" s="274">
        <v>1817</v>
      </c>
      <c r="L5" s="118">
        <v>2267</v>
      </c>
      <c r="M5" s="143">
        <v>2507</v>
      </c>
      <c r="N5" s="126">
        <v>2567</v>
      </c>
      <c r="O5" s="274">
        <v>2596</v>
      </c>
      <c r="P5" s="118">
        <v>2861</v>
      </c>
      <c r="Q5" s="143">
        <v>3039</v>
      </c>
      <c r="R5" s="126">
        <v>3136</v>
      </c>
      <c r="S5" s="274">
        <v>3312</v>
      </c>
      <c r="T5" s="118">
        <v>3445</v>
      </c>
      <c r="U5" s="143">
        <v>3312</v>
      </c>
      <c r="V5" s="126">
        <v>3121</v>
      </c>
      <c r="W5" s="274">
        <v>3299</v>
      </c>
      <c r="X5" s="449">
        <v>3434</v>
      </c>
      <c r="Y5" s="497"/>
      <c r="Z5" s="114">
        <v>3422</v>
      </c>
      <c r="AA5" s="126">
        <v>3126</v>
      </c>
      <c r="AB5" s="274">
        <v>3127</v>
      </c>
      <c r="AC5" s="118">
        <v>3250</v>
      </c>
      <c r="AD5" s="143">
        <v>3111</v>
      </c>
      <c r="AE5" s="126">
        <v>2835</v>
      </c>
      <c r="AF5" s="274">
        <v>2926</v>
      </c>
      <c r="AG5" s="118">
        <v>3173</v>
      </c>
      <c r="AH5" s="143">
        <v>3335</v>
      </c>
      <c r="AJ5" s="31"/>
      <c r="AK5" s="162">
        <v>9407</v>
      </c>
      <c r="AL5" s="162">
        <v>8877</v>
      </c>
      <c r="AM5" s="162">
        <v>8612</v>
      </c>
      <c r="AN5" s="162">
        <v>11063</v>
      </c>
      <c r="AO5" s="472">
        <v>13205</v>
      </c>
      <c r="AP5" s="497"/>
      <c r="AQ5" s="114">
        <v>13276</v>
      </c>
      <c r="AR5" s="114">
        <v>12614</v>
      </c>
      <c r="AS5" s="114">
        <f>SUM(AE5:AH5)</f>
        <v>12269</v>
      </c>
      <c r="AV5" s="566"/>
      <c r="AW5" s="31"/>
    </row>
    <row r="6" spans="1:49" x14ac:dyDescent="0.35">
      <c r="A6" s="108"/>
      <c r="B6" s="127"/>
      <c r="C6" s="110"/>
      <c r="D6" s="119"/>
      <c r="E6" s="144"/>
      <c r="F6" s="127"/>
      <c r="G6" s="110"/>
      <c r="H6" s="119"/>
      <c r="I6" s="144"/>
      <c r="J6" s="127"/>
      <c r="K6" s="110"/>
      <c r="L6" s="119"/>
      <c r="M6" s="144"/>
      <c r="N6" s="127"/>
      <c r="O6" s="110"/>
      <c r="P6" s="119"/>
      <c r="Q6" s="144"/>
      <c r="R6" s="127"/>
      <c r="S6" s="110"/>
      <c r="T6" s="119"/>
      <c r="U6" s="144"/>
      <c r="V6" s="127"/>
      <c r="W6" s="110"/>
      <c r="X6" s="450"/>
      <c r="Y6" s="498"/>
      <c r="Z6" s="115"/>
      <c r="AA6" s="127"/>
      <c r="AB6" s="110"/>
      <c r="AC6" s="119"/>
      <c r="AD6" s="144"/>
      <c r="AE6" s="127"/>
      <c r="AF6" s="110"/>
      <c r="AG6" s="119"/>
      <c r="AH6" s="144"/>
      <c r="AJ6" s="31"/>
      <c r="AK6" s="138"/>
      <c r="AL6" s="138"/>
      <c r="AM6" s="138"/>
      <c r="AN6" s="138"/>
      <c r="AO6" s="473"/>
      <c r="AP6" s="506"/>
      <c r="AQ6" s="137"/>
      <c r="AR6" s="137"/>
      <c r="AS6" s="137"/>
      <c r="AV6" s="566"/>
      <c r="AW6" s="31"/>
    </row>
    <row r="7" spans="1:49" ht="12.75" customHeight="1" x14ac:dyDescent="0.35">
      <c r="A7" s="107" t="s">
        <v>258</v>
      </c>
      <c r="B7" s="126">
        <v>1172</v>
      </c>
      <c r="C7" s="274">
        <v>1180</v>
      </c>
      <c r="D7" s="118">
        <v>1256</v>
      </c>
      <c r="E7" s="143">
        <v>1243</v>
      </c>
      <c r="F7" s="126">
        <v>1072</v>
      </c>
      <c r="G7" s="274">
        <v>1151</v>
      </c>
      <c r="H7" s="118">
        <v>1186</v>
      </c>
      <c r="I7" s="143">
        <v>1209</v>
      </c>
      <c r="J7" s="126">
        <v>997</v>
      </c>
      <c r="K7" s="274">
        <v>860</v>
      </c>
      <c r="L7" s="118">
        <v>1090</v>
      </c>
      <c r="M7" s="143">
        <v>1288</v>
      </c>
      <c r="N7" s="126">
        <v>1355</v>
      </c>
      <c r="O7" s="274">
        <v>1422</v>
      </c>
      <c r="P7" s="118">
        <v>1583</v>
      </c>
      <c r="Q7" s="143">
        <v>1707</v>
      </c>
      <c r="R7" s="126">
        <v>1777</v>
      </c>
      <c r="S7" s="274">
        <v>1882</v>
      </c>
      <c r="T7" s="118">
        <v>1967</v>
      </c>
      <c r="U7" s="143">
        <v>1891</v>
      </c>
      <c r="V7" s="126">
        <v>1770</v>
      </c>
      <c r="W7" s="274">
        <v>1881</v>
      </c>
      <c r="X7" s="449">
        <v>1965</v>
      </c>
      <c r="Y7" s="497"/>
      <c r="Z7" s="114">
        <v>1937</v>
      </c>
      <c r="AA7" s="126">
        <v>1783</v>
      </c>
      <c r="AB7" s="274">
        <v>1792</v>
      </c>
      <c r="AC7" s="118">
        <v>1866</v>
      </c>
      <c r="AD7" s="143">
        <v>1678</v>
      </c>
      <c r="AE7" s="126">
        <v>1560</v>
      </c>
      <c r="AF7" s="274">
        <v>1562</v>
      </c>
      <c r="AG7" s="118">
        <v>1787</v>
      </c>
      <c r="AH7" s="143">
        <v>1807</v>
      </c>
      <c r="AJ7" s="31"/>
      <c r="AK7" s="162">
        <v>4851</v>
      </c>
      <c r="AL7" s="162">
        <v>4618</v>
      </c>
      <c r="AM7" s="162">
        <v>4235</v>
      </c>
      <c r="AN7" s="162">
        <v>6067</v>
      </c>
      <c r="AO7" s="472">
        <v>7517</v>
      </c>
      <c r="AP7" s="497"/>
      <c r="AQ7" s="114">
        <v>7553</v>
      </c>
      <c r="AR7" s="114">
        <v>7119</v>
      </c>
      <c r="AS7" s="114">
        <f t="shared" ref="AS7:AS14" si="0">SUM(AE7:AH7)</f>
        <v>6716</v>
      </c>
      <c r="AV7" s="566"/>
      <c r="AW7" s="31"/>
    </row>
    <row r="8" spans="1:49" ht="12.75" customHeight="1" x14ac:dyDescent="0.35">
      <c r="A8" s="109" t="s">
        <v>3</v>
      </c>
      <c r="B8" s="127">
        <v>-19</v>
      </c>
      <c r="C8" s="110">
        <v>-20</v>
      </c>
      <c r="D8" s="119">
        <v>-20</v>
      </c>
      <c r="E8" s="144">
        <v>-19</v>
      </c>
      <c r="F8" s="127">
        <v>-17</v>
      </c>
      <c r="G8" s="110">
        <v>-20</v>
      </c>
      <c r="H8" s="119">
        <v>-19</v>
      </c>
      <c r="I8" s="144">
        <v>-28</v>
      </c>
      <c r="J8" s="127">
        <v>-36</v>
      </c>
      <c r="K8" s="110">
        <v>-20</v>
      </c>
      <c r="L8" s="119">
        <v>-22</v>
      </c>
      <c r="M8" s="144">
        <v>-21</v>
      </c>
      <c r="N8" s="127">
        <v>-18</v>
      </c>
      <c r="O8" s="110">
        <v>-18</v>
      </c>
      <c r="P8" s="119">
        <v>-20</v>
      </c>
      <c r="Q8" s="144">
        <v>-18</v>
      </c>
      <c r="R8" s="127">
        <v>-14</v>
      </c>
      <c r="S8" s="110">
        <v>-14</v>
      </c>
      <c r="T8" s="119">
        <v>-15</v>
      </c>
      <c r="U8" s="144">
        <v>-15</v>
      </c>
      <c r="V8" s="127">
        <v>-13</v>
      </c>
      <c r="W8" s="110">
        <v>-14</v>
      </c>
      <c r="X8" s="450">
        <v>-13</v>
      </c>
      <c r="Y8" s="498"/>
      <c r="Z8" s="115">
        <v>-13</v>
      </c>
      <c r="AA8" s="127">
        <v>-12</v>
      </c>
      <c r="AB8" s="110">
        <v>-12</v>
      </c>
      <c r="AC8" s="119">
        <v>-12</v>
      </c>
      <c r="AD8" s="144">
        <v>-11</v>
      </c>
      <c r="AE8" s="127">
        <v>-8</v>
      </c>
      <c r="AF8" s="110">
        <v>-7</v>
      </c>
      <c r="AG8" s="119">
        <v>-6</v>
      </c>
      <c r="AH8" s="144">
        <v>-7</v>
      </c>
      <c r="AJ8" s="243"/>
      <c r="AK8" s="163">
        <v>-78</v>
      </c>
      <c r="AL8" s="163">
        <v>-84</v>
      </c>
      <c r="AM8" s="163">
        <v>-99</v>
      </c>
      <c r="AN8" s="163">
        <v>-74</v>
      </c>
      <c r="AO8" s="474">
        <v>-58</v>
      </c>
      <c r="AP8" s="498"/>
      <c r="AQ8" s="115">
        <v>-53</v>
      </c>
      <c r="AR8" s="115">
        <v>-47</v>
      </c>
      <c r="AS8" s="115">
        <f t="shared" si="0"/>
        <v>-28</v>
      </c>
      <c r="AV8" s="566"/>
      <c r="AW8" s="31"/>
    </row>
    <row r="9" spans="1:49" ht="12.75" customHeight="1" x14ac:dyDescent="0.35">
      <c r="A9" s="109" t="s">
        <v>6</v>
      </c>
      <c r="B9" s="127">
        <v>0</v>
      </c>
      <c r="C9" s="110">
        <v>0</v>
      </c>
      <c r="D9" s="119">
        <v>0</v>
      </c>
      <c r="E9" s="144">
        <v>0</v>
      </c>
      <c r="F9" s="127">
        <v>-4</v>
      </c>
      <c r="G9" s="110">
        <v>0</v>
      </c>
      <c r="H9" s="119">
        <v>1</v>
      </c>
      <c r="I9" s="144">
        <v>0</v>
      </c>
      <c r="J9" s="127">
        <v>-3</v>
      </c>
      <c r="K9" s="110">
        <v>0</v>
      </c>
      <c r="L9" s="119">
        <v>-12</v>
      </c>
      <c r="M9" s="144">
        <v>0</v>
      </c>
      <c r="N9" s="127">
        <v>0</v>
      </c>
      <c r="O9" s="110">
        <v>0</v>
      </c>
      <c r="P9" s="119">
        <v>0</v>
      </c>
      <c r="Q9" s="144">
        <v>0</v>
      </c>
      <c r="R9" s="127">
        <v>0</v>
      </c>
      <c r="S9" s="110">
        <v>3</v>
      </c>
      <c r="T9" s="119">
        <v>0</v>
      </c>
      <c r="U9" s="144">
        <v>0</v>
      </c>
      <c r="V9" s="127">
        <v>2</v>
      </c>
      <c r="W9" s="110">
        <v>0</v>
      </c>
      <c r="X9" s="450">
        <v>0</v>
      </c>
      <c r="Y9" s="498"/>
      <c r="Z9" s="115">
        <v>-13</v>
      </c>
      <c r="AA9" s="127">
        <v>-3</v>
      </c>
      <c r="AB9" s="110">
        <v>-4</v>
      </c>
      <c r="AC9" s="119">
        <v>0</v>
      </c>
      <c r="AD9" s="144">
        <v>-21</v>
      </c>
      <c r="AE9" s="127">
        <v>-4</v>
      </c>
      <c r="AF9" s="110">
        <v>-61</v>
      </c>
      <c r="AG9" s="119">
        <v>0</v>
      </c>
      <c r="AH9" s="144">
        <v>-14</v>
      </c>
      <c r="AJ9" s="243"/>
      <c r="AK9" s="163">
        <v>0</v>
      </c>
      <c r="AL9" s="163">
        <v>-3</v>
      </c>
      <c r="AM9" s="163">
        <v>-15</v>
      </c>
      <c r="AN9" s="163">
        <v>0</v>
      </c>
      <c r="AO9" s="474">
        <v>3</v>
      </c>
      <c r="AP9" s="498"/>
      <c r="AQ9" s="115">
        <v>-11</v>
      </c>
      <c r="AR9" s="115">
        <v>-28</v>
      </c>
      <c r="AS9" s="115">
        <f t="shared" si="0"/>
        <v>-79</v>
      </c>
      <c r="AV9" s="566"/>
      <c r="AW9" s="31"/>
    </row>
    <row r="10" spans="1:49" ht="12.75" customHeight="1" x14ac:dyDescent="0.35">
      <c r="A10" s="109" t="s">
        <v>9</v>
      </c>
      <c r="B10" s="127">
        <v>-9</v>
      </c>
      <c r="C10" s="110">
        <v>-8</v>
      </c>
      <c r="D10" s="119">
        <v>-11</v>
      </c>
      <c r="E10" s="144">
        <v>-12</v>
      </c>
      <c r="F10" s="127">
        <v>-10</v>
      </c>
      <c r="G10" s="110">
        <v>-10</v>
      </c>
      <c r="H10" s="119">
        <v>-11</v>
      </c>
      <c r="I10" s="144">
        <v>-11</v>
      </c>
      <c r="J10" s="127">
        <v>-11</v>
      </c>
      <c r="K10" s="110">
        <v>-11</v>
      </c>
      <c r="L10" s="119">
        <v>-11</v>
      </c>
      <c r="M10" s="144">
        <v>-12</v>
      </c>
      <c r="N10" s="127">
        <v>-12</v>
      </c>
      <c r="O10" s="110">
        <v>-12</v>
      </c>
      <c r="P10" s="119">
        <v>-10</v>
      </c>
      <c r="Q10" s="144">
        <v>-11</v>
      </c>
      <c r="R10" s="127">
        <v>-11</v>
      </c>
      <c r="S10" s="110">
        <v>-12</v>
      </c>
      <c r="T10" s="119">
        <v>-12</v>
      </c>
      <c r="U10" s="144">
        <v>-12</v>
      </c>
      <c r="V10" s="127">
        <v>-13</v>
      </c>
      <c r="W10" s="110">
        <v>-13</v>
      </c>
      <c r="X10" s="450">
        <v>-14</v>
      </c>
      <c r="Y10" s="498"/>
      <c r="Z10" s="115">
        <v>-14</v>
      </c>
      <c r="AA10" s="127">
        <v>-15</v>
      </c>
      <c r="AB10" s="110">
        <v>-15</v>
      </c>
      <c r="AC10" s="119">
        <v>-14</v>
      </c>
      <c r="AD10" s="144">
        <v>-15</v>
      </c>
      <c r="AE10" s="127">
        <v>-16</v>
      </c>
      <c r="AF10" s="110">
        <v>-14</v>
      </c>
      <c r="AG10" s="119">
        <v>-15</v>
      </c>
      <c r="AH10" s="144">
        <v>-14</v>
      </c>
      <c r="AJ10" s="243"/>
      <c r="AK10" s="163">
        <v>-40</v>
      </c>
      <c r="AL10" s="163">
        <v>-42</v>
      </c>
      <c r="AM10" s="163">
        <v>-45</v>
      </c>
      <c r="AN10" s="163">
        <v>-45</v>
      </c>
      <c r="AO10" s="474">
        <v>-47</v>
      </c>
      <c r="AP10" s="498"/>
      <c r="AQ10" s="115">
        <v>-54</v>
      </c>
      <c r="AR10" s="115">
        <v>-59</v>
      </c>
      <c r="AS10" s="115">
        <f t="shared" si="0"/>
        <v>-59</v>
      </c>
      <c r="AV10" s="566"/>
      <c r="AW10" s="31"/>
    </row>
    <row r="11" spans="1:49" ht="12.75" customHeight="1" x14ac:dyDescent="0.35">
      <c r="A11" s="109" t="s">
        <v>12</v>
      </c>
      <c r="B11" s="127">
        <v>0</v>
      </c>
      <c r="C11" s="110">
        <v>-2</v>
      </c>
      <c r="D11" s="119">
        <v>-8</v>
      </c>
      <c r="E11" s="144">
        <v>-1</v>
      </c>
      <c r="F11" s="127">
        <v>-1</v>
      </c>
      <c r="G11" s="110">
        <v>0</v>
      </c>
      <c r="H11" s="119">
        <v>-1</v>
      </c>
      <c r="I11" s="144">
        <v>0</v>
      </c>
      <c r="J11" s="127">
        <v>0</v>
      </c>
      <c r="K11" s="110">
        <v>-1</v>
      </c>
      <c r="L11" s="119">
        <v>0</v>
      </c>
      <c r="M11" s="144">
        <v>0</v>
      </c>
      <c r="N11" s="127">
        <v>0</v>
      </c>
      <c r="O11" s="110">
        <v>0</v>
      </c>
      <c r="P11" s="119">
        <v>0</v>
      </c>
      <c r="Q11" s="144">
        <v>0</v>
      </c>
      <c r="R11" s="127">
        <v>0</v>
      </c>
      <c r="S11" s="110">
        <v>0</v>
      </c>
      <c r="T11" s="119">
        <v>0</v>
      </c>
      <c r="U11" s="144">
        <v>0</v>
      </c>
      <c r="V11" s="127">
        <v>0</v>
      </c>
      <c r="W11" s="110">
        <v>0</v>
      </c>
      <c r="X11" s="450">
        <v>0</v>
      </c>
      <c r="Y11" s="498"/>
      <c r="Z11" s="115">
        <v>0</v>
      </c>
      <c r="AA11" s="127">
        <v>0</v>
      </c>
      <c r="AB11" s="110">
        <v>0</v>
      </c>
      <c r="AC11" s="119">
        <v>0</v>
      </c>
      <c r="AD11" s="144">
        <v>0</v>
      </c>
      <c r="AE11" s="127">
        <v>0</v>
      </c>
      <c r="AF11" s="110">
        <v>0</v>
      </c>
      <c r="AG11" s="119"/>
      <c r="AH11" s="144"/>
      <c r="AJ11" s="31"/>
      <c r="AK11" s="163">
        <v>-11</v>
      </c>
      <c r="AL11" s="115">
        <v>-2</v>
      </c>
      <c r="AM11" s="115">
        <v>-1</v>
      </c>
      <c r="AN11" s="115">
        <v>0</v>
      </c>
      <c r="AO11" s="110">
        <v>0</v>
      </c>
      <c r="AP11" s="498"/>
      <c r="AQ11" s="115">
        <v>0</v>
      </c>
      <c r="AR11" s="115">
        <v>0</v>
      </c>
      <c r="AS11" s="115">
        <f t="shared" si="0"/>
        <v>0</v>
      </c>
      <c r="AV11" s="566"/>
      <c r="AW11" s="31"/>
    </row>
    <row r="12" spans="1:49" ht="12.75" customHeight="1" x14ac:dyDescent="0.35">
      <c r="A12" s="109" t="s">
        <v>15</v>
      </c>
      <c r="B12" s="127">
        <v>0</v>
      </c>
      <c r="C12" s="110">
        <v>0</v>
      </c>
      <c r="D12" s="119">
        <v>0</v>
      </c>
      <c r="E12" s="144">
        <v>0</v>
      </c>
      <c r="F12" s="127">
        <v>0</v>
      </c>
      <c r="G12" s="110">
        <v>0</v>
      </c>
      <c r="H12" s="119">
        <v>0</v>
      </c>
      <c r="I12" s="144">
        <v>0</v>
      </c>
      <c r="J12" s="127">
        <v>0</v>
      </c>
      <c r="K12" s="110">
        <v>0</v>
      </c>
      <c r="L12" s="119">
        <v>0</v>
      </c>
      <c r="M12" s="144">
        <v>-5</v>
      </c>
      <c r="N12" s="127">
        <v>-7</v>
      </c>
      <c r="O12" s="110">
        <v>-4</v>
      </c>
      <c r="P12" s="119">
        <v>-4</v>
      </c>
      <c r="Q12" s="144">
        <v>-4</v>
      </c>
      <c r="R12" s="127">
        <v>-5</v>
      </c>
      <c r="S12" s="110">
        <v>-10</v>
      </c>
      <c r="T12" s="119">
        <v>-5</v>
      </c>
      <c r="U12" s="144">
        <v>-4</v>
      </c>
      <c r="V12" s="127">
        <v>-22</v>
      </c>
      <c r="W12" s="110">
        <v>-18</v>
      </c>
      <c r="X12" s="450">
        <v>-18</v>
      </c>
      <c r="Y12" s="498"/>
      <c r="Z12" s="115">
        <v>-33</v>
      </c>
      <c r="AA12" s="127">
        <v>-5</v>
      </c>
      <c r="AB12" s="110">
        <v>-10</v>
      </c>
      <c r="AC12" s="119">
        <v>0</v>
      </c>
      <c r="AD12" s="144">
        <v>-64</v>
      </c>
      <c r="AE12" s="127">
        <v>-3</v>
      </c>
      <c r="AF12" s="110">
        <v>-8</v>
      </c>
      <c r="AG12" s="119">
        <v>-2</v>
      </c>
      <c r="AH12" s="144">
        <v>-71</v>
      </c>
      <c r="AJ12" s="31"/>
      <c r="AK12" s="163">
        <v>0</v>
      </c>
      <c r="AL12" s="163">
        <v>0</v>
      </c>
      <c r="AM12" s="163">
        <v>-5</v>
      </c>
      <c r="AN12" s="163">
        <v>-19</v>
      </c>
      <c r="AO12" s="474">
        <v>-24</v>
      </c>
      <c r="AP12" s="498"/>
      <c r="AQ12" s="115">
        <v>-91</v>
      </c>
      <c r="AR12" s="115">
        <v>-79</v>
      </c>
      <c r="AS12" s="115">
        <f t="shared" si="0"/>
        <v>-84</v>
      </c>
      <c r="AV12" s="566"/>
      <c r="AW12" s="31"/>
    </row>
    <row r="13" spans="1:49" ht="12.75" customHeight="1" x14ac:dyDescent="0.35">
      <c r="A13" s="109" t="s">
        <v>259</v>
      </c>
      <c r="B13" s="127">
        <v>0</v>
      </c>
      <c r="C13" s="275">
        <v>0</v>
      </c>
      <c r="D13" s="119">
        <v>0</v>
      </c>
      <c r="E13" s="115">
        <v>0</v>
      </c>
      <c r="F13" s="127">
        <v>0</v>
      </c>
      <c r="G13" s="275">
        <v>0</v>
      </c>
      <c r="H13" s="119">
        <v>0</v>
      </c>
      <c r="I13" s="115">
        <v>0</v>
      </c>
      <c r="J13" s="127">
        <v>0</v>
      </c>
      <c r="K13" s="275">
        <v>0</v>
      </c>
      <c r="L13" s="119">
        <v>0</v>
      </c>
      <c r="M13" s="115">
        <v>0</v>
      </c>
      <c r="N13" s="127">
        <v>0</v>
      </c>
      <c r="O13" s="275">
        <v>0</v>
      </c>
      <c r="P13" s="119">
        <v>0</v>
      </c>
      <c r="Q13" s="115">
        <v>0</v>
      </c>
      <c r="R13" s="127">
        <v>0</v>
      </c>
      <c r="S13" s="275">
        <v>0</v>
      </c>
      <c r="T13" s="119">
        <v>0</v>
      </c>
      <c r="U13" s="115">
        <v>0</v>
      </c>
      <c r="V13" s="127">
        <v>0</v>
      </c>
      <c r="W13" s="275">
        <v>0</v>
      </c>
      <c r="X13" s="450">
        <v>0</v>
      </c>
      <c r="Y13" s="498"/>
      <c r="Z13" s="115">
        <v>0</v>
      </c>
      <c r="AA13" s="127">
        <v>0</v>
      </c>
      <c r="AB13" s="275">
        <v>0</v>
      </c>
      <c r="AC13" s="119">
        <v>0</v>
      </c>
      <c r="AD13" s="115">
        <v>0</v>
      </c>
      <c r="AE13" s="127">
        <v>0</v>
      </c>
      <c r="AF13" s="275">
        <v>0</v>
      </c>
      <c r="AG13" s="119"/>
      <c r="AH13" s="115"/>
      <c r="AJ13" s="31"/>
      <c r="AK13" s="163">
        <v>0</v>
      </c>
      <c r="AL13" s="163">
        <v>0</v>
      </c>
      <c r="AM13" s="163">
        <v>0</v>
      </c>
      <c r="AN13" s="163">
        <v>0</v>
      </c>
      <c r="AO13" s="474">
        <v>0</v>
      </c>
      <c r="AP13" s="498"/>
      <c r="AQ13" s="115">
        <v>0</v>
      </c>
      <c r="AR13" s="115">
        <v>0</v>
      </c>
      <c r="AS13" s="115">
        <f t="shared" si="0"/>
        <v>0</v>
      </c>
      <c r="AV13" s="566"/>
      <c r="AW13" s="31"/>
    </row>
    <row r="14" spans="1:49" ht="12.75" customHeight="1" thickBot="1" x14ac:dyDescent="0.4">
      <c r="A14" s="107" t="s">
        <v>260</v>
      </c>
      <c r="B14" s="128">
        <v>1200</v>
      </c>
      <c r="C14" s="259">
        <v>1210</v>
      </c>
      <c r="D14" s="120">
        <v>1295</v>
      </c>
      <c r="E14" s="145">
        <v>1275</v>
      </c>
      <c r="F14" s="128">
        <v>1104</v>
      </c>
      <c r="G14" s="259">
        <v>1181</v>
      </c>
      <c r="H14" s="120">
        <v>1216</v>
      </c>
      <c r="I14" s="145">
        <v>1248</v>
      </c>
      <c r="J14" s="128">
        <v>1047</v>
      </c>
      <c r="K14" s="259">
        <v>892</v>
      </c>
      <c r="L14" s="120">
        <v>1135</v>
      </c>
      <c r="M14" s="145">
        <v>1326</v>
      </c>
      <c r="N14" s="128">
        <v>1392</v>
      </c>
      <c r="O14" s="259">
        <v>1456</v>
      </c>
      <c r="P14" s="120">
        <v>1617</v>
      </c>
      <c r="Q14" s="145">
        <v>1740</v>
      </c>
      <c r="R14" s="128">
        <v>1807</v>
      </c>
      <c r="S14" s="259">
        <v>1915</v>
      </c>
      <c r="T14" s="120">
        <v>1999</v>
      </c>
      <c r="U14" s="145">
        <v>1922</v>
      </c>
      <c r="V14" s="128">
        <v>1816</v>
      </c>
      <c r="W14" s="259">
        <v>1926</v>
      </c>
      <c r="X14" s="259">
        <v>2010</v>
      </c>
      <c r="Y14" s="497"/>
      <c r="Z14" s="116">
        <v>2010</v>
      </c>
      <c r="AA14" s="128">
        <v>1818</v>
      </c>
      <c r="AB14" s="259">
        <v>1833</v>
      </c>
      <c r="AC14" s="120">
        <v>1892</v>
      </c>
      <c r="AD14" s="145">
        <v>1789</v>
      </c>
      <c r="AE14" s="128">
        <v>1591</v>
      </c>
      <c r="AF14" s="259">
        <v>1652</v>
      </c>
      <c r="AG14" s="120">
        <v>1810</v>
      </c>
      <c r="AH14" s="145">
        <v>1913</v>
      </c>
      <c r="AJ14" s="31"/>
      <c r="AK14" s="164">
        <v>4980</v>
      </c>
      <c r="AL14" s="164">
        <v>4749</v>
      </c>
      <c r="AM14" s="164">
        <v>4400</v>
      </c>
      <c r="AN14" s="164">
        <v>6205</v>
      </c>
      <c r="AO14" s="475">
        <v>7643</v>
      </c>
      <c r="AP14" s="497"/>
      <c r="AQ14" s="116">
        <v>7762</v>
      </c>
      <c r="AR14" s="116">
        <v>7332</v>
      </c>
      <c r="AS14" s="116">
        <f t="shared" si="0"/>
        <v>6966</v>
      </c>
      <c r="AV14" s="566"/>
      <c r="AW14" s="31"/>
    </row>
    <row r="15" spans="1:49" ht="12.75" customHeight="1" thickTop="1" x14ac:dyDescent="0.35">
      <c r="A15" s="108"/>
      <c r="B15" s="129"/>
      <c r="C15" s="324"/>
      <c r="D15" s="121"/>
      <c r="E15" s="146"/>
      <c r="F15" s="129"/>
      <c r="G15" s="324"/>
      <c r="H15" s="121"/>
      <c r="I15" s="146"/>
      <c r="J15" s="129"/>
      <c r="K15" s="324"/>
      <c r="L15" s="121"/>
      <c r="M15" s="146"/>
      <c r="N15" s="129"/>
      <c r="O15" s="324"/>
      <c r="P15" s="121"/>
      <c r="Q15" s="146"/>
      <c r="R15" s="129"/>
      <c r="S15" s="324"/>
      <c r="T15" s="121"/>
      <c r="U15" s="146"/>
      <c r="V15" s="129"/>
      <c r="W15" s="324"/>
      <c r="X15" s="327"/>
      <c r="Y15" s="499"/>
      <c r="Z15" s="461"/>
      <c r="AA15" s="129"/>
      <c r="AB15" s="324"/>
      <c r="AC15" s="121"/>
      <c r="AD15" s="146"/>
      <c r="AE15" s="129"/>
      <c r="AF15" s="324"/>
      <c r="AG15" s="121"/>
      <c r="AH15" s="146"/>
      <c r="AK15" s="183"/>
      <c r="AL15" s="183"/>
      <c r="AM15" s="183"/>
      <c r="AN15" s="183"/>
      <c r="AO15" s="476"/>
      <c r="AP15" s="507"/>
      <c r="AQ15" s="486"/>
      <c r="AR15" s="486"/>
      <c r="AS15" s="486"/>
      <c r="AV15" s="566"/>
      <c r="AW15" s="31"/>
    </row>
    <row r="16" spans="1:49" ht="12.75" customHeight="1" x14ac:dyDescent="0.35">
      <c r="A16" s="107" t="s">
        <v>261</v>
      </c>
      <c r="B16" s="112">
        <v>0.51700000000000002</v>
      </c>
      <c r="C16" s="325">
        <v>0.51500000000000001</v>
      </c>
      <c r="D16" s="178">
        <v>0.51400000000000001</v>
      </c>
      <c r="E16" s="147">
        <v>0.51727007906783184</v>
      </c>
      <c r="F16" s="112">
        <v>0.51200000000000001</v>
      </c>
      <c r="G16" s="325">
        <f t="shared" ref="G16:H16" si="1">G7/G5</f>
        <v>0.51917004961659896</v>
      </c>
      <c r="H16" s="325">
        <f t="shared" si="1"/>
        <v>0.52362030905077261</v>
      </c>
      <c r="I16" s="147">
        <f t="shared" ref="I16:J16" si="2">I7/I5</f>
        <v>0.52542372881355937</v>
      </c>
      <c r="J16" s="112">
        <f t="shared" si="2"/>
        <v>0.49332013854527462</v>
      </c>
      <c r="K16" s="325">
        <f t="shared" ref="K16:N16" si="3">K7/K5</f>
        <v>0.47330764997248209</v>
      </c>
      <c r="L16" s="325">
        <f t="shared" si="3"/>
        <v>0.48081164534627263</v>
      </c>
      <c r="M16" s="147">
        <f t="shared" si="3"/>
        <v>0.51376146788990829</v>
      </c>
      <c r="N16" s="112">
        <f t="shared" si="3"/>
        <v>0.52785352551616671</v>
      </c>
      <c r="O16" s="325">
        <f t="shared" ref="O16:R16" si="4">O7/O5</f>
        <v>0.54776579352850541</v>
      </c>
      <c r="P16" s="325">
        <f t="shared" si="4"/>
        <v>0.55330304089479199</v>
      </c>
      <c r="Q16" s="147">
        <f t="shared" si="4"/>
        <v>0.56169792694965448</v>
      </c>
      <c r="R16" s="112">
        <f t="shared" si="4"/>
        <v>0.56664540816326525</v>
      </c>
      <c r="S16" s="325">
        <f t="shared" ref="S16:T16" si="5">S7/S5</f>
        <v>0.56823671497584538</v>
      </c>
      <c r="T16" s="325">
        <f t="shared" si="5"/>
        <v>0.57097242380261248</v>
      </c>
      <c r="U16" s="147">
        <f t="shared" ref="U16:X16" si="6">U7/U5</f>
        <v>0.57095410628019327</v>
      </c>
      <c r="V16" s="112">
        <f t="shared" si="6"/>
        <v>0.5671259211791092</v>
      </c>
      <c r="W16" s="325">
        <f t="shared" si="6"/>
        <v>0.57017277963019097</v>
      </c>
      <c r="X16" s="325">
        <f t="shared" si="6"/>
        <v>0.57221898660454285</v>
      </c>
      <c r="Y16" s="500"/>
      <c r="Z16" s="462">
        <f t="shared" ref="Z16:AA16" si="7">Z7/Z5</f>
        <v>0.56604324956165986</v>
      </c>
      <c r="AA16" s="112">
        <f t="shared" si="7"/>
        <v>0.57037747920665383</v>
      </c>
      <c r="AB16" s="112">
        <f t="shared" ref="AB16" si="8">AB7/AB5</f>
        <v>0.57307323313079628</v>
      </c>
      <c r="AC16" s="112">
        <f t="shared" ref="AC16" si="9">AC7/AC5</f>
        <v>0.57415384615384613</v>
      </c>
      <c r="AD16" s="147">
        <f t="shared" ref="AD16:AF16" si="10">AD7/AD5</f>
        <v>0.53937640630022499</v>
      </c>
      <c r="AE16" s="547">
        <f t="shared" si="10"/>
        <v>0.55026455026455023</v>
      </c>
      <c r="AF16" s="552">
        <f t="shared" si="10"/>
        <v>0.53383458646616544</v>
      </c>
      <c r="AG16" s="325">
        <v>0.56318941065237949</v>
      </c>
      <c r="AH16" s="147">
        <v>0.54182908545727138</v>
      </c>
      <c r="AK16" s="185">
        <v>0.51567981290528331</v>
      </c>
      <c r="AL16" s="185">
        <f t="shared" ref="AL16:AM16" si="11">AL7/AL5</f>
        <v>0.52022079531373211</v>
      </c>
      <c r="AM16" s="185">
        <f t="shared" si="11"/>
        <v>0.49175568973525313</v>
      </c>
      <c r="AN16" s="185">
        <f t="shared" ref="AN16:AO16" si="12">AN7/AN5</f>
        <v>0.54840459188285273</v>
      </c>
      <c r="AO16" s="477">
        <f t="shared" si="12"/>
        <v>0.56925407042786824</v>
      </c>
      <c r="AP16" s="508"/>
      <c r="AQ16" s="487">
        <f t="shared" ref="AQ16:AS16" si="13">AQ7/AQ5</f>
        <v>0.56892136185598075</v>
      </c>
      <c r="AR16" s="487">
        <f t="shared" si="13"/>
        <v>0.56437291897891229</v>
      </c>
      <c r="AS16" s="487">
        <f t="shared" si="13"/>
        <v>0.54739587578449755</v>
      </c>
      <c r="AV16" s="566"/>
      <c r="AW16" s="31"/>
    </row>
    <row r="17" spans="1:49" ht="12.75" customHeight="1" x14ac:dyDescent="0.35">
      <c r="A17" s="108"/>
      <c r="B17" s="113"/>
      <c r="C17" s="326"/>
      <c r="D17" s="179"/>
      <c r="E17" s="148"/>
      <c r="F17" s="113"/>
      <c r="G17" s="326"/>
      <c r="H17" s="326"/>
      <c r="I17" s="148"/>
      <c r="J17" s="113"/>
      <c r="K17" s="326"/>
      <c r="L17" s="326"/>
      <c r="M17" s="148"/>
      <c r="N17" s="113"/>
      <c r="O17" s="326"/>
      <c r="P17" s="326"/>
      <c r="Q17" s="148"/>
      <c r="R17" s="113"/>
      <c r="S17" s="326"/>
      <c r="T17" s="326"/>
      <c r="U17" s="148"/>
      <c r="V17" s="113"/>
      <c r="W17" s="326"/>
      <c r="X17" s="326"/>
      <c r="Y17" s="501"/>
      <c r="Z17" s="463"/>
      <c r="AA17" s="113"/>
      <c r="AB17" s="113"/>
      <c r="AC17" s="113"/>
      <c r="AD17" s="148"/>
      <c r="AE17" s="548"/>
      <c r="AF17" s="554"/>
      <c r="AG17" s="326"/>
      <c r="AH17" s="148"/>
      <c r="AK17" s="183"/>
      <c r="AL17" s="183"/>
      <c r="AM17" s="183"/>
      <c r="AN17" s="183"/>
      <c r="AO17" s="476"/>
      <c r="AP17" s="507"/>
      <c r="AQ17" s="486"/>
      <c r="AR17" s="486"/>
      <c r="AS17" s="486"/>
      <c r="AV17" s="566"/>
      <c r="AW17" s="31"/>
    </row>
    <row r="18" spans="1:49" ht="12.75" customHeight="1" x14ac:dyDescent="0.35">
      <c r="A18" s="107" t="s">
        <v>262</v>
      </c>
      <c r="B18" s="112">
        <v>0.52900000000000003</v>
      </c>
      <c r="C18" s="325">
        <v>0.52800000000000002</v>
      </c>
      <c r="D18" s="178">
        <v>0.53</v>
      </c>
      <c r="E18" s="147">
        <v>0.53058676654182269</v>
      </c>
      <c r="F18" s="112">
        <v>0.52700000000000002</v>
      </c>
      <c r="G18" s="325">
        <f t="shared" ref="G18:H18" si="14">G14/G5</f>
        <v>0.53270184934596299</v>
      </c>
      <c r="H18" s="325">
        <f t="shared" si="14"/>
        <v>0.53686534216335546</v>
      </c>
      <c r="I18" s="147">
        <f t="shared" ref="I18:J18" si="15">I14/I5</f>
        <v>0.5423728813559322</v>
      </c>
      <c r="J18" s="112">
        <f t="shared" si="15"/>
        <v>0.51806036615536866</v>
      </c>
      <c r="K18" s="325">
        <f t="shared" ref="K18:N18" si="16">K14/K5</f>
        <v>0.49091909741331868</v>
      </c>
      <c r="L18" s="325">
        <f t="shared" si="16"/>
        <v>0.50066166740185269</v>
      </c>
      <c r="M18" s="147">
        <f t="shared" si="16"/>
        <v>0.52891902672516955</v>
      </c>
      <c r="N18" s="112">
        <f t="shared" si="16"/>
        <v>0.54226723802103627</v>
      </c>
      <c r="O18" s="325">
        <f t="shared" ref="O18:R18" si="17">O14/O5</f>
        <v>0.5608628659476117</v>
      </c>
      <c r="P18" s="325">
        <f t="shared" si="17"/>
        <v>0.56518699755330304</v>
      </c>
      <c r="Q18" s="147">
        <f t="shared" si="17"/>
        <v>0.57255676209279371</v>
      </c>
      <c r="R18" s="112">
        <f t="shared" si="17"/>
        <v>0.57621173469387754</v>
      </c>
      <c r="S18" s="325">
        <f t="shared" ref="S18:T18" si="18">S14/S5</f>
        <v>0.5782004830917874</v>
      </c>
      <c r="T18" s="325">
        <f t="shared" si="18"/>
        <v>0.58026124818577651</v>
      </c>
      <c r="U18" s="147">
        <f t="shared" ref="U18:X18" si="19">U14/U5</f>
        <v>0.58031400966183577</v>
      </c>
      <c r="V18" s="112">
        <f t="shared" si="19"/>
        <v>0.58186478692726695</v>
      </c>
      <c r="W18" s="325">
        <f t="shared" si="19"/>
        <v>0.58381327675053052</v>
      </c>
      <c r="X18" s="325">
        <f t="shared" si="19"/>
        <v>0.5853232382061736</v>
      </c>
      <c r="Y18" s="500"/>
      <c r="Z18" s="462">
        <f t="shared" ref="Z18:AA18" si="20">Z14/Z5</f>
        <v>0.58737580362361197</v>
      </c>
      <c r="AA18" s="112">
        <f t="shared" si="20"/>
        <v>0.58157389635316703</v>
      </c>
      <c r="AB18" s="112">
        <f t="shared" ref="AB18" si="21">AB14/AB5</f>
        <v>0.58618484170131113</v>
      </c>
      <c r="AC18" s="112">
        <f t="shared" ref="AC18" si="22">AC14/AC5</f>
        <v>0.58215384615384613</v>
      </c>
      <c r="AD18" s="147">
        <f t="shared" ref="AD18:AF18" si="23">AD14/AD5</f>
        <v>0.57505625200900035</v>
      </c>
      <c r="AE18" s="547">
        <f t="shared" si="23"/>
        <v>0.56119929453262785</v>
      </c>
      <c r="AF18" s="552">
        <f t="shared" si="23"/>
        <v>0.56459330143540665</v>
      </c>
      <c r="AG18" s="325">
        <v>0.57043807122596912</v>
      </c>
      <c r="AH18" s="147">
        <v>0.5736131934032983</v>
      </c>
      <c r="AK18" s="185">
        <v>0.52939300520888699</v>
      </c>
      <c r="AL18" s="185">
        <f t="shared" ref="AL18:AM18" si="24">AL14/AL5</f>
        <v>0.53497803311929704</v>
      </c>
      <c r="AM18" s="185">
        <f t="shared" si="24"/>
        <v>0.51091500232234088</v>
      </c>
      <c r="AN18" s="185">
        <f t="shared" ref="AN18:AO18" si="25">AN14/AN5</f>
        <v>0.56087860435686521</v>
      </c>
      <c r="AO18" s="477">
        <f t="shared" si="25"/>
        <v>0.57879591063990909</v>
      </c>
      <c r="AP18" s="508"/>
      <c r="AQ18" s="487">
        <f t="shared" ref="AQ18:AS18" si="26">AQ14/AQ5</f>
        <v>0.58466405543838507</v>
      </c>
      <c r="AR18" s="487">
        <f t="shared" si="26"/>
        <v>0.58125891866180435</v>
      </c>
      <c r="AS18" s="487">
        <f t="shared" si="26"/>
        <v>0.56777243459124627</v>
      </c>
      <c r="AV18" s="566"/>
      <c r="AW18" s="31"/>
    </row>
    <row r="19" spans="1:49" ht="12.75" customHeight="1" x14ac:dyDescent="0.35">
      <c r="A19" s="108"/>
      <c r="B19" s="111"/>
      <c r="C19" s="327"/>
      <c r="D19" s="121"/>
      <c r="E19" s="146"/>
      <c r="F19" s="111"/>
      <c r="G19" s="327"/>
      <c r="H19" s="121"/>
      <c r="I19" s="146"/>
      <c r="J19" s="111"/>
      <c r="K19" s="327"/>
      <c r="L19" s="121"/>
      <c r="M19" s="146"/>
      <c r="N19" s="111"/>
      <c r="O19" s="327"/>
      <c r="P19" s="121"/>
      <c r="Q19" s="146"/>
      <c r="R19" s="111"/>
      <c r="S19" s="327"/>
      <c r="T19" s="121"/>
      <c r="U19" s="146"/>
      <c r="V19" s="111"/>
      <c r="W19" s="327"/>
      <c r="X19" s="327"/>
      <c r="Y19" s="499"/>
      <c r="Z19" s="461"/>
      <c r="AA19" s="111"/>
      <c r="AB19" s="327"/>
      <c r="AC19" s="121"/>
      <c r="AD19" s="146"/>
      <c r="AE19" s="111"/>
      <c r="AF19" s="327"/>
      <c r="AG19" s="121"/>
      <c r="AH19" s="146"/>
      <c r="AK19" s="183"/>
      <c r="AL19" s="183"/>
      <c r="AM19" s="183"/>
      <c r="AN19" s="183"/>
      <c r="AO19" s="476"/>
      <c r="AP19" s="507"/>
      <c r="AQ19" s="486"/>
      <c r="AR19" s="486"/>
      <c r="AS19" s="486"/>
      <c r="AV19" s="566"/>
      <c r="AW19" s="31"/>
    </row>
    <row r="20" spans="1:49" ht="12.75" customHeight="1" x14ac:dyDescent="0.35">
      <c r="A20" s="109" t="s">
        <v>263</v>
      </c>
      <c r="B20" s="127">
        <v>-426</v>
      </c>
      <c r="C20" s="110">
        <v>-438</v>
      </c>
      <c r="D20" s="119">
        <v>-433</v>
      </c>
      <c r="E20" s="144">
        <v>-403</v>
      </c>
      <c r="F20" s="127">
        <v>-415</v>
      </c>
      <c r="G20" s="110">
        <v>-408</v>
      </c>
      <c r="H20" s="119">
        <v>-396</v>
      </c>
      <c r="I20" s="144">
        <v>-424</v>
      </c>
      <c r="J20" s="127">
        <v>-425</v>
      </c>
      <c r="K20" s="110">
        <v>-402</v>
      </c>
      <c r="L20" s="119">
        <v>-438</v>
      </c>
      <c r="M20" s="144">
        <v>-460</v>
      </c>
      <c r="N20" s="127">
        <v>-461</v>
      </c>
      <c r="O20" s="110">
        <v>-476</v>
      </c>
      <c r="P20" s="119">
        <v>-492</v>
      </c>
      <c r="Q20" s="144">
        <v>-507</v>
      </c>
      <c r="R20" s="127">
        <v>-518</v>
      </c>
      <c r="S20" s="110">
        <v>-542</v>
      </c>
      <c r="T20" s="119">
        <v>-548</v>
      </c>
      <c r="U20" s="144">
        <v>-540</v>
      </c>
      <c r="V20" s="127">
        <v>-577</v>
      </c>
      <c r="W20" s="110">
        <v>-589</v>
      </c>
      <c r="X20" s="450">
        <v>-601</v>
      </c>
      <c r="Y20" s="498"/>
      <c r="Z20" s="115">
        <v>-651</v>
      </c>
      <c r="AA20" s="127">
        <v>-564</v>
      </c>
      <c r="AB20" s="110">
        <v>-594</v>
      </c>
      <c r="AC20" s="119">
        <v>-577</v>
      </c>
      <c r="AD20" s="144">
        <v>-612</v>
      </c>
      <c r="AE20" s="127">
        <v>-547</v>
      </c>
      <c r="AF20" s="110">
        <v>-573</v>
      </c>
      <c r="AG20" s="119">
        <v>-575</v>
      </c>
      <c r="AH20" s="144">
        <v>-665</v>
      </c>
      <c r="AJ20" s="31"/>
      <c r="AK20" s="163">
        <v>-1700</v>
      </c>
      <c r="AL20" s="163">
        <v>-1643</v>
      </c>
      <c r="AM20" s="163">
        <v>-1725</v>
      </c>
      <c r="AN20" s="163">
        <v>-1936</v>
      </c>
      <c r="AO20" s="474">
        <v>-2148</v>
      </c>
      <c r="AP20" s="498"/>
      <c r="AQ20" s="115">
        <v>-2418</v>
      </c>
      <c r="AR20" s="115">
        <v>-2347</v>
      </c>
      <c r="AS20" s="115">
        <f t="shared" ref="AS20:AS25" si="27">SUM(AE20:AH20)</f>
        <v>-2360</v>
      </c>
      <c r="AV20" s="566"/>
      <c r="AW20" s="31"/>
    </row>
    <row r="21" spans="1:49" ht="12.75" customHeight="1" x14ac:dyDescent="0.35">
      <c r="A21" s="242" t="s">
        <v>6</v>
      </c>
      <c r="B21" s="127">
        <v>0</v>
      </c>
      <c r="C21" s="110">
        <v>0</v>
      </c>
      <c r="D21" s="119">
        <v>0</v>
      </c>
      <c r="E21" s="144">
        <v>0</v>
      </c>
      <c r="F21" s="127">
        <v>-11</v>
      </c>
      <c r="G21" s="110">
        <v>-5</v>
      </c>
      <c r="H21" s="119">
        <v>0</v>
      </c>
      <c r="I21" s="144">
        <v>0</v>
      </c>
      <c r="J21" s="127">
        <v>-4</v>
      </c>
      <c r="K21" s="110">
        <v>-6</v>
      </c>
      <c r="L21" s="119">
        <v>-7</v>
      </c>
      <c r="M21" s="144">
        <v>-22</v>
      </c>
      <c r="N21" s="127">
        <v>0</v>
      </c>
      <c r="O21" s="110">
        <v>-1</v>
      </c>
      <c r="P21" s="119">
        <v>0</v>
      </c>
      <c r="Q21" s="144">
        <v>0</v>
      </c>
      <c r="R21" s="127">
        <v>1</v>
      </c>
      <c r="S21" s="110">
        <v>1</v>
      </c>
      <c r="T21" s="119">
        <v>0</v>
      </c>
      <c r="U21" s="144">
        <v>0</v>
      </c>
      <c r="V21" s="127">
        <v>-14</v>
      </c>
      <c r="W21" s="110">
        <v>0</v>
      </c>
      <c r="X21" s="450">
        <v>4</v>
      </c>
      <c r="Y21" s="498"/>
      <c r="Z21" s="115">
        <v>-49</v>
      </c>
      <c r="AA21" s="127">
        <v>-3</v>
      </c>
      <c r="AB21" s="110">
        <v>-4</v>
      </c>
      <c r="AC21" s="119">
        <v>0</v>
      </c>
      <c r="AD21" s="144">
        <v>-50</v>
      </c>
      <c r="AE21" s="127">
        <v>-7</v>
      </c>
      <c r="AF21" s="110">
        <v>-3</v>
      </c>
      <c r="AG21" s="119">
        <v>-1</v>
      </c>
      <c r="AH21" s="144">
        <v>-89</v>
      </c>
      <c r="AJ21" s="31"/>
      <c r="AK21" s="163">
        <v>0</v>
      </c>
      <c r="AL21" s="163">
        <v>-16</v>
      </c>
      <c r="AM21" s="163">
        <v>-39</v>
      </c>
      <c r="AN21" s="163">
        <v>-1</v>
      </c>
      <c r="AO21" s="474">
        <v>2</v>
      </c>
      <c r="AP21" s="498"/>
      <c r="AQ21" s="115">
        <v>-59</v>
      </c>
      <c r="AR21" s="115">
        <v>-57</v>
      </c>
      <c r="AS21" s="115">
        <f t="shared" si="27"/>
        <v>-100</v>
      </c>
      <c r="AV21" s="566"/>
      <c r="AW21" s="31"/>
    </row>
    <row r="22" spans="1:49" ht="12.75" customHeight="1" x14ac:dyDescent="0.35">
      <c r="A22" s="242" t="s">
        <v>9</v>
      </c>
      <c r="B22" s="127">
        <v>-31</v>
      </c>
      <c r="C22" s="110">
        <v>-32</v>
      </c>
      <c r="D22" s="119">
        <v>-34</v>
      </c>
      <c r="E22" s="144">
        <v>-36</v>
      </c>
      <c r="F22" s="127">
        <v>-35</v>
      </c>
      <c r="G22" s="110">
        <v>-34</v>
      </c>
      <c r="H22" s="119">
        <v>-34</v>
      </c>
      <c r="I22" s="144">
        <v>-38</v>
      </c>
      <c r="J22" s="127">
        <v>-40</v>
      </c>
      <c r="K22" s="110">
        <v>-39</v>
      </c>
      <c r="L22" s="119">
        <v>-39</v>
      </c>
      <c r="M22" s="144">
        <v>-41</v>
      </c>
      <c r="N22" s="127">
        <v>-40</v>
      </c>
      <c r="O22" s="110">
        <v>-41</v>
      </c>
      <c r="P22" s="119">
        <v>-40</v>
      </c>
      <c r="Q22" s="144">
        <v>-44</v>
      </c>
      <c r="R22" s="127">
        <v>-44</v>
      </c>
      <c r="S22" s="110">
        <v>-45</v>
      </c>
      <c r="T22" s="119">
        <v>-45</v>
      </c>
      <c r="U22" s="144">
        <v>-49</v>
      </c>
      <c r="V22" s="127">
        <v>-52</v>
      </c>
      <c r="W22" s="110">
        <v>-51</v>
      </c>
      <c r="X22" s="450">
        <v>-53</v>
      </c>
      <c r="Y22" s="498"/>
      <c r="Z22" s="115">
        <v>-55</v>
      </c>
      <c r="AA22" s="127">
        <v>-58</v>
      </c>
      <c r="AB22" s="110">
        <v>-58</v>
      </c>
      <c r="AC22" s="119">
        <v>-58</v>
      </c>
      <c r="AD22" s="144">
        <v>-60</v>
      </c>
      <c r="AE22" s="127">
        <v>-64</v>
      </c>
      <c r="AF22" s="110">
        <v>-58</v>
      </c>
      <c r="AG22" s="119">
        <v>-57</v>
      </c>
      <c r="AH22" s="144">
        <v>-58</v>
      </c>
      <c r="AJ22" s="31"/>
      <c r="AK22" s="163">
        <v>-133</v>
      </c>
      <c r="AL22" s="163">
        <v>-141</v>
      </c>
      <c r="AM22" s="163">
        <v>-159</v>
      </c>
      <c r="AN22" s="163">
        <v>-165</v>
      </c>
      <c r="AO22" s="474">
        <v>-183</v>
      </c>
      <c r="AP22" s="498"/>
      <c r="AQ22" s="115">
        <v>-211</v>
      </c>
      <c r="AR22" s="115">
        <v>-234</v>
      </c>
      <c r="AS22" s="115">
        <f t="shared" si="27"/>
        <v>-237</v>
      </c>
      <c r="AV22" s="566"/>
      <c r="AW22" s="31"/>
    </row>
    <row r="23" spans="1:49" ht="12.75" customHeight="1" x14ac:dyDescent="0.35">
      <c r="A23" s="242" t="s">
        <v>12</v>
      </c>
      <c r="B23" s="127">
        <v>-1</v>
      </c>
      <c r="C23" s="110">
        <v>-2</v>
      </c>
      <c r="D23" s="119">
        <v>-18</v>
      </c>
      <c r="E23" s="144">
        <v>-3</v>
      </c>
      <c r="F23" s="127">
        <v>-3</v>
      </c>
      <c r="G23" s="110">
        <v>-2</v>
      </c>
      <c r="H23" s="119">
        <v>-1</v>
      </c>
      <c r="I23" s="144">
        <v>-1</v>
      </c>
      <c r="J23" s="127">
        <v>-1</v>
      </c>
      <c r="K23" s="110">
        <v>0</v>
      </c>
      <c r="L23" s="119">
        <v>0</v>
      </c>
      <c r="M23" s="144">
        <v>0</v>
      </c>
      <c r="N23" s="127">
        <v>0</v>
      </c>
      <c r="O23" s="110">
        <v>0</v>
      </c>
      <c r="P23" s="119">
        <v>0</v>
      </c>
      <c r="Q23" s="144">
        <v>0</v>
      </c>
      <c r="R23" s="127">
        <v>0</v>
      </c>
      <c r="S23" s="110">
        <v>0</v>
      </c>
      <c r="T23" s="119">
        <v>0</v>
      </c>
      <c r="U23" s="144">
        <v>0</v>
      </c>
      <c r="V23" s="127">
        <v>0</v>
      </c>
      <c r="W23" s="110">
        <v>0</v>
      </c>
      <c r="X23" s="450">
        <v>0</v>
      </c>
      <c r="Y23" s="498"/>
      <c r="Z23" s="115">
        <v>0</v>
      </c>
      <c r="AA23" s="127">
        <v>0</v>
      </c>
      <c r="AB23" s="110">
        <v>0</v>
      </c>
      <c r="AC23" s="119">
        <v>0</v>
      </c>
      <c r="AD23" s="144">
        <v>0</v>
      </c>
      <c r="AE23" s="127">
        <v>0</v>
      </c>
      <c r="AF23" s="110">
        <v>0</v>
      </c>
      <c r="AG23" s="119">
        <v>0</v>
      </c>
      <c r="AH23" s="144">
        <v>0</v>
      </c>
      <c r="AJ23" s="31"/>
      <c r="AK23" s="163">
        <v>-24</v>
      </c>
      <c r="AL23" s="115">
        <v>-7</v>
      </c>
      <c r="AM23" s="115">
        <v>-1</v>
      </c>
      <c r="AN23" s="115">
        <v>0</v>
      </c>
      <c r="AO23" s="110">
        <v>0</v>
      </c>
      <c r="AP23" s="498"/>
      <c r="AQ23" s="115">
        <v>0</v>
      </c>
      <c r="AR23" s="115">
        <v>0</v>
      </c>
      <c r="AS23" s="115">
        <f t="shared" si="27"/>
        <v>0</v>
      </c>
      <c r="AV23" s="566"/>
      <c r="AW23" s="31"/>
    </row>
    <row r="24" spans="1:49" ht="12.75" customHeight="1" x14ac:dyDescent="0.35">
      <c r="A24" s="242" t="s">
        <v>15</v>
      </c>
      <c r="B24" s="127">
        <v>0</v>
      </c>
      <c r="C24" s="275">
        <v>0</v>
      </c>
      <c r="D24" s="119">
        <v>0</v>
      </c>
      <c r="E24" s="115">
        <v>0</v>
      </c>
      <c r="F24" s="127">
        <v>0</v>
      </c>
      <c r="G24" s="275">
        <v>0</v>
      </c>
      <c r="H24" s="119">
        <v>0</v>
      </c>
      <c r="I24" s="115">
        <v>0</v>
      </c>
      <c r="J24" s="127">
        <v>0</v>
      </c>
      <c r="K24" s="275">
        <v>0</v>
      </c>
      <c r="L24" s="119">
        <v>-5</v>
      </c>
      <c r="M24" s="115">
        <v>-1</v>
      </c>
      <c r="N24" s="127">
        <v>-1</v>
      </c>
      <c r="O24" s="275">
        <v>1</v>
      </c>
      <c r="P24" s="119">
        <v>-2</v>
      </c>
      <c r="Q24" s="115">
        <v>0</v>
      </c>
      <c r="R24" s="127">
        <v>-1</v>
      </c>
      <c r="S24" s="275">
        <v>-3</v>
      </c>
      <c r="T24" s="119">
        <v>-1</v>
      </c>
      <c r="U24" s="115">
        <v>-1</v>
      </c>
      <c r="V24" s="127">
        <v>-1</v>
      </c>
      <c r="W24" s="275">
        <v>-1</v>
      </c>
      <c r="X24" s="450">
        <v>-2</v>
      </c>
      <c r="Y24" s="498"/>
      <c r="Z24" s="115">
        <v>-1</v>
      </c>
      <c r="AA24" s="127">
        <v>-1</v>
      </c>
      <c r="AB24" s="275">
        <v>0</v>
      </c>
      <c r="AC24" s="119">
        <v>0</v>
      </c>
      <c r="AD24" s="115">
        <v>-5</v>
      </c>
      <c r="AE24" s="127">
        <v>-1</v>
      </c>
      <c r="AF24" s="275">
        <v>-7</v>
      </c>
      <c r="AG24" s="119">
        <v>-2</v>
      </c>
      <c r="AH24" s="115">
        <v>-4</v>
      </c>
      <c r="AJ24" s="31"/>
      <c r="AK24" s="163">
        <v>0</v>
      </c>
      <c r="AL24" s="163">
        <v>0</v>
      </c>
      <c r="AM24" s="163">
        <v>-6</v>
      </c>
      <c r="AN24" s="163">
        <v>-2</v>
      </c>
      <c r="AO24" s="474">
        <v>-6</v>
      </c>
      <c r="AP24" s="498"/>
      <c r="AQ24" s="115">
        <v>-5</v>
      </c>
      <c r="AR24" s="115">
        <v>-6</v>
      </c>
      <c r="AS24" s="115">
        <f t="shared" si="27"/>
        <v>-14</v>
      </c>
      <c r="AV24" s="566"/>
      <c r="AW24" s="31"/>
    </row>
    <row r="25" spans="1:49" ht="12.75" customHeight="1" thickBot="1" x14ac:dyDescent="0.4">
      <c r="A25" s="109" t="s">
        <v>264</v>
      </c>
      <c r="B25" s="131">
        <v>-394</v>
      </c>
      <c r="C25" s="276">
        <v>-404</v>
      </c>
      <c r="D25" s="122">
        <v>-381</v>
      </c>
      <c r="E25" s="149">
        <v>-364</v>
      </c>
      <c r="F25" s="131">
        <v>-366</v>
      </c>
      <c r="G25" s="276">
        <v>-367</v>
      </c>
      <c r="H25" s="122">
        <v>-361</v>
      </c>
      <c r="I25" s="149">
        <v>-385</v>
      </c>
      <c r="J25" s="131">
        <v>-380</v>
      </c>
      <c r="K25" s="276">
        <v>-357</v>
      </c>
      <c r="L25" s="122">
        <v>-387</v>
      </c>
      <c r="M25" s="149">
        <v>-396</v>
      </c>
      <c r="N25" s="131">
        <v>-420</v>
      </c>
      <c r="O25" s="276">
        <v>-435</v>
      </c>
      <c r="P25" s="122">
        <v>-450</v>
      </c>
      <c r="Q25" s="149">
        <v>-463</v>
      </c>
      <c r="R25" s="131">
        <v>-474</v>
      </c>
      <c r="S25" s="276">
        <v>-495</v>
      </c>
      <c r="T25" s="122">
        <v>-502</v>
      </c>
      <c r="U25" s="149">
        <v>-490</v>
      </c>
      <c r="V25" s="131">
        <v>-510</v>
      </c>
      <c r="W25" s="276">
        <v>-537</v>
      </c>
      <c r="X25" s="276">
        <v>-550</v>
      </c>
      <c r="Y25" s="498"/>
      <c r="Z25" s="464">
        <v>-546</v>
      </c>
      <c r="AA25" s="131">
        <v>-502</v>
      </c>
      <c r="AB25" s="276">
        <v>-532</v>
      </c>
      <c r="AC25" s="122">
        <v>-519</v>
      </c>
      <c r="AD25" s="149">
        <v>-497</v>
      </c>
      <c r="AE25" s="131">
        <v>-475</v>
      </c>
      <c r="AF25" s="276">
        <v>-505</v>
      </c>
      <c r="AG25" s="122">
        <v>-515</v>
      </c>
      <c r="AH25" s="149">
        <v>-514</v>
      </c>
      <c r="AJ25" s="31"/>
      <c r="AK25" s="165">
        <v>-1543</v>
      </c>
      <c r="AL25" s="165">
        <v>-1479</v>
      </c>
      <c r="AM25" s="165">
        <v>-1520</v>
      </c>
      <c r="AN25" s="165">
        <v>-1768</v>
      </c>
      <c r="AO25" s="478">
        <v>-1961</v>
      </c>
      <c r="AP25" s="498"/>
      <c r="AQ25" s="464">
        <v>-2143</v>
      </c>
      <c r="AR25" s="464">
        <v>-2050</v>
      </c>
      <c r="AS25" s="464">
        <f t="shared" si="27"/>
        <v>-2009</v>
      </c>
      <c r="AV25" s="566"/>
      <c r="AW25" s="31"/>
    </row>
    <row r="26" spans="1:49" ht="12.75" customHeight="1" thickTop="1" x14ac:dyDescent="0.35">
      <c r="A26" s="109"/>
      <c r="B26" s="127"/>
      <c r="C26" s="110"/>
      <c r="D26" s="119"/>
      <c r="E26" s="144"/>
      <c r="F26" s="127"/>
      <c r="G26" s="110"/>
      <c r="H26" s="119"/>
      <c r="I26" s="144"/>
      <c r="J26" s="127"/>
      <c r="K26" s="110"/>
      <c r="L26" s="119"/>
      <c r="M26" s="144"/>
      <c r="N26" s="127"/>
      <c r="O26" s="110"/>
      <c r="P26" s="119"/>
      <c r="Q26" s="144"/>
      <c r="R26" s="127"/>
      <c r="S26" s="110"/>
      <c r="T26" s="119"/>
      <c r="U26" s="144"/>
      <c r="V26" s="127"/>
      <c r="W26" s="110"/>
      <c r="X26" s="450"/>
      <c r="Y26" s="498"/>
      <c r="Z26" s="115"/>
      <c r="AA26" s="127"/>
      <c r="AB26" s="110"/>
      <c r="AC26" s="119"/>
      <c r="AD26" s="144"/>
      <c r="AE26" s="127"/>
      <c r="AF26" s="110"/>
      <c r="AG26" s="119"/>
      <c r="AH26" s="144"/>
      <c r="AJ26" s="31"/>
      <c r="AK26" s="183"/>
      <c r="AL26" s="183"/>
      <c r="AM26" s="183"/>
      <c r="AN26" s="183"/>
      <c r="AO26" s="476"/>
      <c r="AP26" s="507"/>
      <c r="AQ26" s="486"/>
      <c r="AR26" s="486"/>
      <c r="AS26" s="486"/>
      <c r="AV26" s="566"/>
      <c r="AW26" s="31"/>
    </row>
    <row r="27" spans="1:49" ht="12.75" customHeight="1" x14ac:dyDescent="0.35">
      <c r="A27" s="109" t="s">
        <v>265</v>
      </c>
      <c r="B27" s="127">
        <v>-248</v>
      </c>
      <c r="C27" s="110">
        <v>-242</v>
      </c>
      <c r="D27" s="119">
        <v>-252</v>
      </c>
      <c r="E27" s="144">
        <v>-251</v>
      </c>
      <c r="F27" s="127">
        <v>-248</v>
      </c>
      <c r="G27" s="110">
        <v>-230</v>
      </c>
      <c r="H27" s="119">
        <v>-221</v>
      </c>
      <c r="I27" s="144">
        <v>-225</v>
      </c>
      <c r="J27" s="127">
        <v>-233</v>
      </c>
      <c r="K27" s="110">
        <v>-222</v>
      </c>
      <c r="L27" s="119">
        <v>-203</v>
      </c>
      <c r="M27" s="144">
        <v>-221</v>
      </c>
      <c r="N27" s="127">
        <v>-222</v>
      </c>
      <c r="O27" s="110">
        <v>-234</v>
      </c>
      <c r="P27" s="119">
        <v>-243</v>
      </c>
      <c r="Q27" s="144">
        <v>-257</v>
      </c>
      <c r="R27" s="127">
        <v>-251</v>
      </c>
      <c r="S27" s="110">
        <v>-265</v>
      </c>
      <c r="T27" s="119">
        <v>-289</v>
      </c>
      <c r="U27" s="144">
        <v>-261</v>
      </c>
      <c r="V27" s="127">
        <v>-280</v>
      </c>
      <c r="W27" s="110">
        <v>-274</v>
      </c>
      <c r="X27" s="450">
        <v>-294</v>
      </c>
      <c r="Y27" s="498"/>
      <c r="Z27" s="115">
        <v>-311</v>
      </c>
      <c r="AA27" s="127">
        <v>-306</v>
      </c>
      <c r="AB27" s="110">
        <v>-270</v>
      </c>
      <c r="AC27" s="119">
        <v>-265</v>
      </c>
      <c r="AD27" s="144">
        <v>-323</v>
      </c>
      <c r="AE27" s="127">
        <v>-281</v>
      </c>
      <c r="AF27" s="110">
        <v>-278</v>
      </c>
      <c r="AG27" s="119">
        <v>-286</v>
      </c>
      <c r="AH27" s="144">
        <v>-359</v>
      </c>
      <c r="AJ27" s="31"/>
      <c r="AK27" s="163">
        <v>-993</v>
      </c>
      <c r="AL27" s="163">
        <v>-924</v>
      </c>
      <c r="AM27" s="163">
        <v>-879</v>
      </c>
      <c r="AN27" s="163">
        <v>-956</v>
      </c>
      <c r="AO27" s="474">
        <v>-1066</v>
      </c>
      <c r="AP27" s="498"/>
      <c r="AQ27" s="115">
        <v>-1159</v>
      </c>
      <c r="AR27" s="115">
        <v>-1164</v>
      </c>
      <c r="AS27" s="115">
        <f t="shared" ref="AS27:AS33" si="28">SUM(AE27:AH27)</f>
        <v>-1204</v>
      </c>
      <c r="AV27" s="566"/>
      <c r="AW27" s="564"/>
    </row>
    <row r="28" spans="1:49" ht="12.75" customHeight="1" x14ac:dyDescent="0.35">
      <c r="A28" s="242" t="s">
        <v>3</v>
      </c>
      <c r="B28" s="127">
        <v>-3</v>
      </c>
      <c r="C28" s="110">
        <v>-1</v>
      </c>
      <c r="D28" s="119">
        <v>-2</v>
      </c>
      <c r="E28" s="144">
        <v>-2</v>
      </c>
      <c r="F28" s="127">
        <v>-1</v>
      </c>
      <c r="G28" s="110">
        <v>-2</v>
      </c>
      <c r="H28" s="119">
        <v>-5</v>
      </c>
      <c r="I28" s="144">
        <v>-1</v>
      </c>
      <c r="J28" s="127">
        <v>-2</v>
      </c>
      <c r="K28" s="110">
        <v>-2</v>
      </c>
      <c r="L28" s="119">
        <v>-1</v>
      </c>
      <c r="M28" s="144">
        <v>-2</v>
      </c>
      <c r="N28" s="127">
        <v>0</v>
      </c>
      <c r="O28" s="110">
        <v>-2</v>
      </c>
      <c r="P28" s="119">
        <v>-2</v>
      </c>
      <c r="Q28" s="144">
        <v>-1</v>
      </c>
      <c r="R28" s="127">
        <v>-1</v>
      </c>
      <c r="S28" s="110">
        <v>-1</v>
      </c>
      <c r="T28" s="119">
        <v>-2</v>
      </c>
      <c r="U28" s="144">
        <v>-1</v>
      </c>
      <c r="V28" s="127">
        <v>-1</v>
      </c>
      <c r="W28" s="110">
        <v>0</v>
      </c>
      <c r="X28" s="450">
        <v>-1</v>
      </c>
      <c r="Y28" s="498"/>
      <c r="Z28" s="115">
        <v>-1</v>
      </c>
      <c r="AA28" s="127">
        <v>0</v>
      </c>
      <c r="AB28" s="110">
        <v>-1</v>
      </c>
      <c r="AC28" s="119">
        <v>-1</v>
      </c>
      <c r="AD28" s="144">
        <v>0</v>
      </c>
      <c r="AE28" s="127">
        <v>0</v>
      </c>
      <c r="AF28" s="110">
        <v>0</v>
      </c>
      <c r="AG28" s="119">
        <v>-1</v>
      </c>
      <c r="AH28" s="144">
        <v>0</v>
      </c>
      <c r="AJ28" s="31"/>
      <c r="AK28" s="163">
        <v>-8</v>
      </c>
      <c r="AL28" s="115">
        <v>-9</v>
      </c>
      <c r="AM28" s="115">
        <v>-7</v>
      </c>
      <c r="AN28" s="115">
        <v>-5</v>
      </c>
      <c r="AO28" s="110">
        <v>-5</v>
      </c>
      <c r="AP28" s="498"/>
      <c r="AQ28" s="115">
        <v>-3</v>
      </c>
      <c r="AR28" s="115">
        <v>-2</v>
      </c>
      <c r="AS28" s="115">
        <f t="shared" si="28"/>
        <v>-1</v>
      </c>
      <c r="AV28" s="566"/>
      <c r="AW28" s="31"/>
    </row>
    <row r="29" spans="1:49" ht="12.75" customHeight="1" x14ac:dyDescent="0.35">
      <c r="A29" s="242" t="s">
        <v>6</v>
      </c>
      <c r="B29" s="127">
        <v>-1</v>
      </c>
      <c r="C29" s="176">
        <v>0</v>
      </c>
      <c r="D29" s="119">
        <v>-5</v>
      </c>
      <c r="E29" s="144">
        <v>-1</v>
      </c>
      <c r="F29" s="127">
        <v>-10</v>
      </c>
      <c r="G29" s="176">
        <v>0</v>
      </c>
      <c r="H29" s="119">
        <v>0</v>
      </c>
      <c r="I29" s="144">
        <v>1</v>
      </c>
      <c r="J29" s="127">
        <v>-4</v>
      </c>
      <c r="K29" s="176">
        <v>-2</v>
      </c>
      <c r="L29" s="119">
        <v>-2</v>
      </c>
      <c r="M29" s="144">
        <v>-16</v>
      </c>
      <c r="N29" s="127">
        <v>0</v>
      </c>
      <c r="O29" s="176">
        <v>0</v>
      </c>
      <c r="P29" s="119">
        <v>0</v>
      </c>
      <c r="Q29" s="144">
        <v>0</v>
      </c>
      <c r="R29" s="127">
        <v>0</v>
      </c>
      <c r="S29" s="176">
        <v>0</v>
      </c>
      <c r="T29" s="119">
        <v>0</v>
      </c>
      <c r="U29" s="144">
        <v>2</v>
      </c>
      <c r="V29" s="127">
        <v>-6</v>
      </c>
      <c r="W29" s="176">
        <v>0</v>
      </c>
      <c r="X29" s="450">
        <v>0</v>
      </c>
      <c r="Y29" s="498"/>
      <c r="Z29" s="115">
        <v>-22</v>
      </c>
      <c r="AA29" s="127">
        <v>-1</v>
      </c>
      <c r="AB29" s="176">
        <v>2</v>
      </c>
      <c r="AC29" s="119">
        <v>0</v>
      </c>
      <c r="AD29" s="144">
        <v>-41</v>
      </c>
      <c r="AE29" s="127">
        <v>-3</v>
      </c>
      <c r="AF29" s="176">
        <v>-3</v>
      </c>
      <c r="AG29" s="119">
        <v>-2</v>
      </c>
      <c r="AH29" s="144">
        <v>-74</v>
      </c>
      <c r="AJ29" s="31"/>
      <c r="AK29" s="163">
        <v>-7</v>
      </c>
      <c r="AL29" s="163">
        <v>-9</v>
      </c>
      <c r="AM29" s="163">
        <v>-24</v>
      </c>
      <c r="AN29" s="163">
        <v>0</v>
      </c>
      <c r="AO29" s="474">
        <v>2</v>
      </c>
      <c r="AP29" s="498"/>
      <c r="AQ29" s="115">
        <v>-28</v>
      </c>
      <c r="AR29" s="115">
        <v>-40</v>
      </c>
      <c r="AS29" s="115">
        <f t="shared" si="28"/>
        <v>-82</v>
      </c>
      <c r="AV29" s="566"/>
      <c r="AW29" s="31"/>
    </row>
    <row r="30" spans="1:49" ht="12.75" customHeight="1" x14ac:dyDescent="0.35">
      <c r="A30" s="242" t="s">
        <v>9</v>
      </c>
      <c r="B30" s="127">
        <v>-29</v>
      </c>
      <c r="C30" s="110">
        <v>-29</v>
      </c>
      <c r="D30" s="119">
        <v>-38</v>
      </c>
      <c r="E30" s="144">
        <v>-45</v>
      </c>
      <c r="F30" s="127">
        <v>-41</v>
      </c>
      <c r="G30" s="110">
        <v>-43</v>
      </c>
      <c r="H30" s="119">
        <v>-39</v>
      </c>
      <c r="I30" s="144">
        <v>-40</v>
      </c>
      <c r="J30" s="127">
        <v>-56</v>
      </c>
      <c r="K30" s="110">
        <v>-55</v>
      </c>
      <c r="L30" s="119">
        <v>-33</v>
      </c>
      <c r="M30" s="144">
        <v>-36</v>
      </c>
      <c r="N30" s="127">
        <v>-39</v>
      </c>
      <c r="O30" s="110">
        <v>-40</v>
      </c>
      <c r="P30" s="119">
        <v>-31</v>
      </c>
      <c r="Q30" s="144">
        <v>-33</v>
      </c>
      <c r="R30" s="127">
        <v>-34</v>
      </c>
      <c r="S30" s="110">
        <v>-32</v>
      </c>
      <c r="T30" s="119">
        <v>-32</v>
      </c>
      <c r="U30" s="144">
        <v>-36</v>
      </c>
      <c r="V30" s="127">
        <v>-34</v>
      </c>
      <c r="W30" s="110">
        <v>-38</v>
      </c>
      <c r="X30" s="450">
        <v>-36</v>
      </c>
      <c r="Y30" s="498"/>
      <c r="Z30" s="115">
        <v>-38</v>
      </c>
      <c r="AA30" s="127">
        <v>-42</v>
      </c>
      <c r="AB30" s="110">
        <v>-41</v>
      </c>
      <c r="AC30" s="119">
        <v>-43</v>
      </c>
      <c r="AD30" s="144">
        <v>-42</v>
      </c>
      <c r="AE30" s="127">
        <v>-47</v>
      </c>
      <c r="AF30" s="110">
        <v>-45</v>
      </c>
      <c r="AG30" s="119">
        <v>-46</v>
      </c>
      <c r="AH30" s="144">
        <v>-28</v>
      </c>
      <c r="AJ30" s="31"/>
      <c r="AK30" s="163">
        <v>-141</v>
      </c>
      <c r="AL30" s="163">
        <v>-163</v>
      </c>
      <c r="AM30" s="163">
        <v>-180</v>
      </c>
      <c r="AN30" s="163">
        <v>-143</v>
      </c>
      <c r="AO30" s="474">
        <v>-134</v>
      </c>
      <c r="AP30" s="498"/>
      <c r="AQ30" s="115">
        <v>-146</v>
      </c>
      <c r="AR30" s="115">
        <v>-168</v>
      </c>
      <c r="AS30" s="115">
        <f t="shared" si="28"/>
        <v>-166</v>
      </c>
      <c r="AV30" s="566"/>
      <c r="AW30" s="564"/>
    </row>
    <row r="31" spans="1:49" ht="12.75" customHeight="1" x14ac:dyDescent="0.35">
      <c r="A31" s="242" t="s">
        <v>12</v>
      </c>
      <c r="B31" s="127">
        <v>-25</v>
      </c>
      <c r="C31" s="110">
        <v>-21</v>
      </c>
      <c r="D31" s="119">
        <v>-21</v>
      </c>
      <c r="E31" s="144">
        <v>-11</v>
      </c>
      <c r="F31" s="127">
        <v>-9</v>
      </c>
      <c r="G31" s="110">
        <v>-8</v>
      </c>
      <c r="H31" s="119">
        <v>-4</v>
      </c>
      <c r="I31" s="144">
        <v>-3</v>
      </c>
      <c r="J31" s="127">
        <v>-3</v>
      </c>
      <c r="K31" s="110">
        <v>-2</v>
      </c>
      <c r="L31" s="119">
        <v>-1</v>
      </c>
      <c r="M31" s="144">
        <v>0</v>
      </c>
      <c r="N31" s="127">
        <v>0</v>
      </c>
      <c r="O31" s="110">
        <v>0</v>
      </c>
      <c r="P31" s="119">
        <v>0</v>
      </c>
      <c r="Q31" s="144">
        <v>0</v>
      </c>
      <c r="R31" s="127">
        <v>0</v>
      </c>
      <c r="S31" s="110">
        <v>0</v>
      </c>
      <c r="T31" s="119">
        <v>0</v>
      </c>
      <c r="U31" s="144">
        <v>0</v>
      </c>
      <c r="V31" s="127">
        <v>0</v>
      </c>
      <c r="W31" s="110">
        <v>0</v>
      </c>
      <c r="X31" s="450">
        <v>0</v>
      </c>
      <c r="Y31" s="498"/>
      <c r="Z31" s="115">
        <v>0</v>
      </c>
      <c r="AA31" s="127">
        <v>0</v>
      </c>
      <c r="AB31" s="110">
        <v>0</v>
      </c>
      <c r="AC31" s="119">
        <v>0</v>
      </c>
      <c r="AD31" s="144">
        <v>0</v>
      </c>
      <c r="AE31" s="127">
        <v>0</v>
      </c>
      <c r="AF31" s="110">
        <v>0</v>
      </c>
      <c r="AG31" s="119">
        <v>0</v>
      </c>
      <c r="AH31" s="144">
        <v>0</v>
      </c>
      <c r="AJ31" s="31"/>
      <c r="AK31" s="163">
        <v>-78</v>
      </c>
      <c r="AL31" s="163">
        <v>-24</v>
      </c>
      <c r="AM31" s="163">
        <v>-6</v>
      </c>
      <c r="AN31" s="163">
        <v>0</v>
      </c>
      <c r="AO31" s="474">
        <v>0</v>
      </c>
      <c r="AP31" s="498"/>
      <c r="AQ31" s="115">
        <v>0</v>
      </c>
      <c r="AR31" s="115">
        <v>0</v>
      </c>
      <c r="AS31" s="115">
        <f t="shared" si="28"/>
        <v>0</v>
      </c>
      <c r="AV31" s="566"/>
      <c r="AW31" s="31"/>
    </row>
    <row r="32" spans="1:49" ht="12.75" customHeight="1" x14ac:dyDescent="0.35">
      <c r="A32" s="242" t="s">
        <v>15</v>
      </c>
      <c r="B32" s="127">
        <v>0</v>
      </c>
      <c r="C32" s="110">
        <v>-4</v>
      </c>
      <c r="D32" s="119">
        <v>-4</v>
      </c>
      <c r="E32" s="144">
        <v>-13</v>
      </c>
      <c r="F32" s="127">
        <v>-6</v>
      </c>
      <c r="G32" s="110">
        <v>-3</v>
      </c>
      <c r="H32" s="119">
        <v>-3</v>
      </c>
      <c r="I32" s="144">
        <v>-4</v>
      </c>
      <c r="J32" s="127">
        <v>-3</v>
      </c>
      <c r="K32" s="110">
        <v>-2</v>
      </c>
      <c r="L32" s="119">
        <v>-3</v>
      </c>
      <c r="M32" s="144">
        <v>0</v>
      </c>
      <c r="N32" s="127">
        <v>-3</v>
      </c>
      <c r="O32" s="110">
        <v>-1</v>
      </c>
      <c r="P32" s="119">
        <v>-3</v>
      </c>
      <c r="Q32" s="144">
        <v>-5</v>
      </c>
      <c r="R32" s="127">
        <v>-2</v>
      </c>
      <c r="S32" s="110">
        <v>-3</v>
      </c>
      <c r="T32" s="119">
        <v>-27</v>
      </c>
      <c r="U32" s="144">
        <v>-3</v>
      </c>
      <c r="V32" s="127">
        <v>-21</v>
      </c>
      <c r="W32" s="110">
        <v>-2</v>
      </c>
      <c r="X32" s="450">
        <v>-4</v>
      </c>
      <c r="Y32" s="498"/>
      <c r="Z32" s="115">
        <v>-5</v>
      </c>
      <c r="AA32" s="127">
        <v>-29</v>
      </c>
      <c r="AB32" s="110">
        <v>-2</v>
      </c>
      <c r="AC32" s="119">
        <v>-2</v>
      </c>
      <c r="AD32" s="144">
        <v>-12</v>
      </c>
      <c r="AE32" s="127">
        <v>-20</v>
      </c>
      <c r="AF32" s="110">
        <v>-15</v>
      </c>
      <c r="AG32" s="119">
        <v>-14</v>
      </c>
      <c r="AH32" s="144">
        <v>-15</v>
      </c>
      <c r="AJ32" s="31"/>
      <c r="AK32" s="163">
        <v>-21</v>
      </c>
      <c r="AL32" s="163">
        <v>-16</v>
      </c>
      <c r="AM32" s="163">
        <v>-8</v>
      </c>
      <c r="AN32" s="163">
        <v>-12</v>
      </c>
      <c r="AO32" s="474">
        <v>-35</v>
      </c>
      <c r="AP32" s="498"/>
      <c r="AQ32" s="115">
        <v>-32</v>
      </c>
      <c r="AR32" s="115">
        <v>-45</v>
      </c>
      <c r="AS32" s="115">
        <f t="shared" si="28"/>
        <v>-64</v>
      </c>
      <c r="AV32" s="566"/>
      <c r="AW32" s="31"/>
    </row>
    <row r="33" spans="1:49" ht="12.75" customHeight="1" thickBot="1" x14ac:dyDescent="0.4">
      <c r="A33" s="109" t="s">
        <v>266</v>
      </c>
      <c r="B33" s="131">
        <v>-190</v>
      </c>
      <c r="C33" s="276">
        <v>-187</v>
      </c>
      <c r="D33" s="122">
        <v>-182</v>
      </c>
      <c r="E33" s="149">
        <v>-179</v>
      </c>
      <c r="F33" s="131">
        <v>-181</v>
      </c>
      <c r="G33" s="276">
        <v>-174</v>
      </c>
      <c r="H33" s="122">
        <v>-170</v>
      </c>
      <c r="I33" s="149">
        <v>-178</v>
      </c>
      <c r="J33" s="131">
        <v>-165</v>
      </c>
      <c r="K33" s="276">
        <v>-159</v>
      </c>
      <c r="L33" s="122">
        <v>-163</v>
      </c>
      <c r="M33" s="149">
        <v>-167</v>
      </c>
      <c r="N33" s="131">
        <v>-180</v>
      </c>
      <c r="O33" s="276">
        <v>-191</v>
      </c>
      <c r="P33" s="122">
        <v>-207</v>
      </c>
      <c r="Q33" s="149">
        <v>-218</v>
      </c>
      <c r="R33" s="131">
        <v>-214</v>
      </c>
      <c r="S33" s="276">
        <v>-229</v>
      </c>
      <c r="T33" s="122">
        <v>-228</v>
      </c>
      <c r="U33" s="149">
        <v>-223</v>
      </c>
      <c r="V33" s="131">
        <v>-218</v>
      </c>
      <c r="W33" s="276">
        <v>-234</v>
      </c>
      <c r="X33" s="276">
        <v>-253</v>
      </c>
      <c r="Y33" s="498"/>
      <c r="Z33" s="464">
        <v>-245</v>
      </c>
      <c r="AA33" s="131">
        <v>-234</v>
      </c>
      <c r="AB33" s="276">
        <v>-228</v>
      </c>
      <c r="AC33" s="122">
        <v>-219</v>
      </c>
      <c r="AD33" s="149">
        <v>-228</v>
      </c>
      <c r="AE33" s="131">
        <v>-211</v>
      </c>
      <c r="AF33" s="276">
        <v>-215</v>
      </c>
      <c r="AG33" s="122">
        <v>-223</v>
      </c>
      <c r="AH33" s="149">
        <v>-242</v>
      </c>
      <c r="AJ33" s="31"/>
      <c r="AK33" s="165">
        <v>-738</v>
      </c>
      <c r="AL33" s="165">
        <v>-703</v>
      </c>
      <c r="AM33" s="165">
        <v>-654</v>
      </c>
      <c r="AN33" s="165">
        <v>-796</v>
      </c>
      <c r="AO33" s="478">
        <v>-894</v>
      </c>
      <c r="AP33" s="498"/>
      <c r="AQ33" s="464">
        <v>-950</v>
      </c>
      <c r="AR33" s="464">
        <v>-909</v>
      </c>
      <c r="AS33" s="464">
        <f t="shared" si="28"/>
        <v>-891</v>
      </c>
      <c r="AT33" s="31"/>
      <c r="AV33" s="566"/>
      <c r="AW33" s="31"/>
    </row>
    <row r="34" spans="1:49" ht="12.75" customHeight="1" thickTop="1" x14ac:dyDescent="0.35">
      <c r="A34" s="109"/>
      <c r="B34" s="127"/>
      <c r="C34" s="110"/>
      <c r="D34" s="119"/>
      <c r="E34" s="144"/>
      <c r="F34" s="127"/>
      <c r="G34" s="110"/>
      <c r="H34" s="119"/>
      <c r="I34" s="144"/>
      <c r="J34" s="127"/>
      <c r="K34" s="110"/>
      <c r="L34" s="119"/>
      <c r="M34" s="144"/>
      <c r="N34" s="127"/>
      <c r="O34" s="110"/>
      <c r="P34" s="119"/>
      <c r="Q34" s="144"/>
      <c r="R34" s="127"/>
      <c r="S34" s="110"/>
      <c r="T34" s="119"/>
      <c r="U34" s="144"/>
      <c r="V34" s="127"/>
      <c r="W34" s="110"/>
      <c r="X34" s="450"/>
      <c r="Y34" s="498"/>
      <c r="Z34" s="115"/>
      <c r="AA34" s="127"/>
      <c r="AB34" s="110"/>
      <c r="AC34" s="119"/>
      <c r="AD34" s="144"/>
      <c r="AE34" s="127"/>
      <c r="AF34" s="110"/>
      <c r="AG34" s="119"/>
      <c r="AH34" s="144"/>
      <c r="AJ34" s="31"/>
      <c r="AK34" s="183"/>
      <c r="AL34" s="183"/>
      <c r="AM34" s="183"/>
      <c r="AN34" s="183"/>
      <c r="AO34" s="476"/>
      <c r="AP34" s="507"/>
      <c r="AQ34" s="486"/>
      <c r="AR34" s="486"/>
      <c r="AS34" s="486"/>
      <c r="AV34" s="566"/>
      <c r="AW34" s="31"/>
    </row>
    <row r="35" spans="1:49" ht="26.25" customHeight="1" x14ac:dyDescent="0.35">
      <c r="A35" s="109" t="s">
        <v>267</v>
      </c>
      <c r="B35" s="127">
        <v>-360</v>
      </c>
      <c r="C35" s="110">
        <v>-363</v>
      </c>
      <c r="D35" s="119">
        <v>-362</v>
      </c>
      <c r="E35" s="144">
        <v>-364</v>
      </c>
      <c r="F35" s="127">
        <v>-357</v>
      </c>
      <c r="G35" s="110">
        <v>-355</v>
      </c>
      <c r="H35" s="119">
        <v>-358</v>
      </c>
      <c r="I35" s="144">
        <v>-365</v>
      </c>
      <c r="J35" s="127">
        <v>-381</v>
      </c>
      <c r="K35" s="110">
        <v>-380</v>
      </c>
      <c r="L35" s="119">
        <v>-418</v>
      </c>
      <c r="M35" s="144">
        <v>-148</v>
      </c>
      <c r="N35" s="127">
        <v>-180</v>
      </c>
      <c r="O35" s="110">
        <v>-139</v>
      </c>
      <c r="P35" s="119">
        <v>-137</v>
      </c>
      <c r="Q35" s="144">
        <v>-136</v>
      </c>
      <c r="R35" s="127">
        <v>-135</v>
      </c>
      <c r="S35" s="110">
        <v>-134</v>
      </c>
      <c r="T35" s="119">
        <v>-131</v>
      </c>
      <c r="U35" s="144">
        <v>-109</v>
      </c>
      <c r="V35" s="127">
        <v>-85</v>
      </c>
      <c r="W35" s="110">
        <v>-81</v>
      </c>
      <c r="X35" s="450">
        <v>-71</v>
      </c>
      <c r="Y35" s="498"/>
      <c r="Z35" s="115">
        <v>-63</v>
      </c>
      <c r="AA35" s="127">
        <v>-51</v>
      </c>
      <c r="AB35" s="110">
        <v>-28</v>
      </c>
      <c r="AC35" s="119">
        <v>-29</v>
      </c>
      <c r="AD35" s="144">
        <v>-28</v>
      </c>
      <c r="AE35" s="127">
        <v>-27</v>
      </c>
      <c r="AF35" s="110">
        <v>-25</v>
      </c>
      <c r="AG35" s="119">
        <v>-31</v>
      </c>
      <c r="AH35" s="144">
        <v>-34</v>
      </c>
      <c r="AJ35" s="31"/>
      <c r="AK35" s="163">
        <v>-1449</v>
      </c>
      <c r="AL35" s="163">
        <v>-1435</v>
      </c>
      <c r="AM35" s="163">
        <v>-1327</v>
      </c>
      <c r="AN35" s="163">
        <v>-592</v>
      </c>
      <c r="AO35" s="474">
        <v>-509</v>
      </c>
      <c r="AP35" s="498"/>
      <c r="AQ35" s="115">
        <v>-300</v>
      </c>
      <c r="AR35" s="115">
        <v>-136</v>
      </c>
      <c r="AS35" s="115">
        <f t="shared" ref="AS35:AS37" si="29">SUM(AE35:AH35)</f>
        <v>-117</v>
      </c>
      <c r="AV35" s="566"/>
      <c r="AW35" s="31"/>
    </row>
    <row r="36" spans="1:49" ht="12.75" customHeight="1" x14ac:dyDescent="0.35">
      <c r="A36" s="242" t="s">
        <v>3</v>
      </c>
      <c r="B36" s="140">
        <v>-360</v>
      </c>
      <c r="C36" s="246">
        <v>-363</v>
      </c>
      <c r="D36" s="139">
        <v>-362</v>
      </c>
      <c r="E36" s="153">
        <v>-364</v>
      </c>
      <c r="F36" s="140">
        <v>-357</v>
      </c>
      <c r="G36" s="246">
        <v>-355</v>
      </c>
      <c r="H36" s="139">
        <v>-358</v>
      </c>
      <c r="I36" s="153">
        <v>-365</v>
      </c>
      <c r="J36" s="140">
        <v>-381</v>
      </c>
      <c r="K36" s="246">
        <v>-380</v>
      </c>
      <c r="L36" s="139">
        <v>-418</v>
      </c>
      <c r="M36" s="153">
        <v>-148</v>
      </c>
      <c r="N36" s="140">
        <v>-180</v>
      </c>
      <c r="O36" s="246">
        <v>-139</v>
      </c>
      <c r="P36" s="139">
        <v>-137</v>
      </c>
      <c r="Q36" s="153">
        <v>-136</v>
      </c>
      <c r="R36" s="140">
        <v>-135</v>
      </c>
      <c r="S36" s="246">
        <v>-134</v>
      </c>
      <c r="T36" s="139">
        <v>-131</v>
      </c>
      <c r="U36" s="153">
        <v>-109</v>
      </c>
      <c r="V36" s="140">
        <v>-85</v>
      </c>
      <c r="W36" s="246">
        <v>-81</v>
      </c>
      <c r="X36" s="451">
        <v>-71</v>
      </c>
      <c r="Y36" s="498"/>
      <c r="Z36" s="465">
        <v>-63</v>
      </c>
      <c r="AA36" s="140">
        <v>-51</v>
      </c>
      <c r="AB36" s="246">
        <v>-28</v>
      </c>
      <c r="AC36" s="139">
        <v>-29</v>
      </c>
      <c r="AD36" s="153">
        <v>-28</v>
      </c>
      <c r="AE36" s="140">
        <v>-27</v>
      </c>
      <c r="AF36" s="246">
        <v>-25</v>
      </c>
      <c r="AG36" s="139">
        <v>-31</v>
      </c>
      <c r="AH36" s="153">
        <v>-34</v>
      </c>
      <c r="AJ36" s="31"/>
      <c r="AK36" s="186">
        <v>-1449</v>
      </c>
      <c r="AL36" s="186">
        <v>-1435</v>
      </c>
      <c r="AM36" s="186">
        <v>-1327</v>
      </c>
      <c r="AN36" s="186">
        <v>-592</v>
      </c>
      <c r="AO36" s="479">
        <v>-509</v>
      </c>
      <c r="AP36" s="498"/>
      <c r="AQ36" s="465">
        <v>-300</v>
      </c>
      <c r="AR36" s="465">
        <v>-136</v>
      </c>
      <c r="AS36" s="465">
        <f t="shared" si="29"/>
        <v>-117</v>
      </c>
      <c r="AV36" s="566"/>
      <c r="AW36" s="31"/>
    </row>
    <row r="37" spans="1:49" ht="24.75" customHeight="1" thickBot="1" x14ac:dyDescent="0.4">
      <c r="A37" s="109" t="s">
        <v>268</v>
      </c>
      <c r="B37" s="131">
        <v>0</v>
      </c>
      <c r="C37" s="247">
        <v>0</v>
      </c>
      <c r="D37" s="122">
        <v>0</v>
      </c>
      <c r="E37" s="149">
        <v>0</v>
      </c>
      <c r="F37" s="131">
        <v>0</v>
      </c>
      <c r="G37" s="247">
        <v>0</v>
      </c>
      <c r="H37" s="122">
        <v>0</v>
      </c>
      <c r="I37" s="149">
        <v>0</v>
      </c>
      <c r="J37" s="131">
        <v>0</v>
      </c>
      <c r="K37" s="247">
        <v>0</v>
      </c>
      <c r="L37" s="122">
        <v>0</v>
      </c>
      <c r="M37" s="149">
        <v>0</v>
      </c>
      <c r="N37" s="131">
        <v>0</v>
      </c>
      <c r="O37" s="247">
        <v>0</v>
      </c>
      <c r="P37" s="122">
        <v>0</v>
      </c>
      <c r="Q37" s="149">
        <v>0</v>
      </c>
      <c r="R37" s="131">
        <v>0</v>
      </c>
      <c r="S37" s="247">
        <v>0</v>
      </c>
      <c r="T37" s="122">
        <v>0</v>
      </c>
      <c r="U37" s="149">
        <v>0</v>
      </c>
      <c r="V37" s="131">
        <v>0</v>
      </c>
      <c r="W37" s="247">
        <v>0</v>
      </c>
      <c r="X37" s="276">
        <v>0</v>
      </c>
      <c r="Y37" s="498"/>
      <c r="Z37" s="464">
        <v>0</v>
      </c>
      <c r="AA37" s="131">
        <v>0</v>
      </c>
      <c r="AB37" s="247">
        <v>0</v>
      </c>
      <c r="AC37" s="122">
        <v>0</v>
      </c>
      <c r="AD37" s="149">
        <v>0</v>
      </c>
      <c r="AE37" s="131">
        <v>0</v>
      </c>
      <c r="AF37" s="247">
        <v>0</v>
      </c>
      <c r="AG37" s="122">
        <v>0</v>
      </c>
      <c r="AH37" s="149">
        <v>0</v>
      </c>
      <c r="AJ37" s="31"/>
      <c r="AK37" s="165">
        <v>0</v>
      </c>
      <c r="AL37" s="165">
        <v>0</v>
      </c>
      <c r="AM37" s="165">
        <v>0</v>
      </c>
      <c r="AN37" s="165">
        <v>0</v>
      </c>
      <c r="AO37" s="478">
        <v>0</v>
      </c>
      <c r="AP37" s="498"/>
      <c r="AQ37" s="464">
        <v>0</v>
      </c>
      <c r="AR37" s="464">
        <v>0</v>
      </c>
      <c r="AS37" s="464">
        <f t="shared" si="29"/>
        <v>0</v>
      </c>
      <c r="AV37" s="566"/>
      <c r="AW37" s="31"/>
    </row>
    <row r="38" spans="1:49" ht="12.75" customHeight="1" thickTop="1" x14ac:dyDescent="0.35">
      <c r="A38" s="109"/>
      <c r="B38" s="127"/>
      <c r="C38" s="110"/>
      <c r="D38" s="119"/>
      <c r="E38" s="144"/>
      <c r="F38" s="127"/>
      <c r="G38" s="110"/>
      <c r="H38" s="119"/>
      <c r="I38" s="144"/>
      <c r="J38" s="127"/>
      <c r="K38" s="110"/>
      <c r="L38" s="119"/>
      <c r="M38" s="144"/>
      <c r="N38" s="127"/>
      <c r="O38" s="110"/>
      <c r="P38" s="119"/>
      <c r="Q38" s="144"/>
      <c r="R38" s="127"/>
      <c r="S38" s="110"/>
      <c r="T38" s="119"/>
      <c r="U38" s="144"/>
      <c r="V38" s="127"/>
      <c r="W38" s="110"/>
      <c r="X38" s="450"/>
      <c r="Y38" s="498"/>
      <c r="Z38" s="115"/>
      <c r="AA38" s="127"/>
      <c r="AB38" s="110"/>
      <c r="AC38" s="119"/>
      <c r="AD38" s="144"/>
      <c r="AE38" s="127"/>
      <c r="AF38" s="110"/>
      <c r="AG38" s="119"/>
      <c r="AH38" s="144"/>
      <c r="AJ38" s="31"/>
      <c r="AK38" s="183"/>
      <c r="AL38" s="183"/>
      <c r="AM38" s="183"/>
      <c r="AN38" s="183"/>
      <c r="AO38" s="476"/>
      <c r="AP38" s="507"/>
      <c r="AQ38" s="486"/>
      <c r="AR38" s="486"/>
      <c r="AS38" s="486"/>
      <c r="AV38" s="566"/>
      <c r="AW38" s="31"/>
    </row>
    <row r="39" spans="1:49" ht="12.75" customHeight="1" x14ac:dyDescent="0.35">
      <c r="A39" s="109" t="s">
        <v>269</v>
      </c>
      <c r="B39" s="127">
        <v>0</v>
      </c>
      <c r="C39" s="110">
        <v>0</v>
      </c>
      <c r="D39" s="119">
        <v>2002</v>
      </c>
      <c r="E39" s="144">
        <v>-1</v>
      </c>
      <c r="F39" s="127">
        <v>2</v>
      </c>
      <c r="G39" s="110">
        <v>-1</v>
      </c>
      <c r="H39" s="119">
        <v>22</v>
      </c>
      <c r="I39" s="144">
        <v>2</v>
      </c>
      <c r="J39" s="127">
        <v>110</v>
      </c>
      <c r="K39" s="110">
        <v>-1</v>
      </c>
      <c r="L39" s="119">
        <v>1</v>
      </c>
      <c r="M39" s="144">
        <v>4</v>
      </c>
      <c r="N39" s="127">
        <v>0</v>
      </c>
      <c r="O39" s="110">
        <v>0</v>
      </c>
      <c r="P39" s="119">
        <v>0</v>
      </c>
      <c r="Q39" s="144">
        <v>0</v>
      </c>
      <c r="R39" s="127">
        <v>0</v>
      </c>
      <c r="S39" s="110">
        <v>2</v>
      </c>
      <c r="T39" s="119">
        <v>2</v>
      </c>
      <c r="U39" s="144">
        <v>-1</v>
      </c>
      <c r="V39" s="127">
        <v>-3</v>
      </c>
      <c r="W39" s="110">
        <v>0</v>
      </c>
      <c r="X39" s="450">
        <v>-7</v>
      </c>
      <c r="Y39" s="498"/>
      <c r="Z39" s="115">
        <v>-5</v>
      </c>
      <c r="AA39" s="127">
        <v>-6</v>
      </c>
      <c r="AB39" s="110">
        <v>-4</v>
      </c>
      <c r="AC39" s="119">
        <v>-5</v>
      </c>
      <c r="AD39" s="144">
        <v>-40</v>
      </c>
      <c r="AE39" s="127">
        <v>18</v>
      </c>
      <c r="AF39" s="110">
        <v>1</v>
      </c>
      <c r="AG39" s="119">
        <v>-2</v>
      </c>
      <c r="AH39" s="144">
        <v>-5</v>
      </c>
      <c r="AJ39" s="31"/>
      <c r="AK39" s="163">
        <v>2001</v>
      </c>
      <c r="AL39" s="163">
        <v>25</v>
      </c>
      <c r="AM39" s="163">
        <v>114</v>
      </c>
      <c r="AN39" s="163">
        <v>0</v>
      </c>
      <c r="AO39" s="474">
        <v>3</v>
      </c>
      <c r="AP39" s="498"/>
      <c r="AQ39" s="115">
        <v>-15</v>
      </c>
      <c r="AR39" s="115">
        <v>-55</v>
      </c>
      <c r="AS39" s="115">
        <f t="shared" ref="AS39:AS44" si="30">SUM(AE39:AH39)</f>
        <v>12</v>
      </c>
      <c r="AV39" s="566"/>
      <c r="AW39" s="31"/>
    </row>
    <row r="40" spans="1:49" ht="12.75" customHeight="1" x14ac:dyDescent="0.35">
      <c r="A40" s="242" t="s">
        <v>3</v>
      </c>
      <c r="B40" s="127">
        <v>0</v>
      </c>
      <c r="C40" s="176">
        <v>0</v>
      </c>
      <c r="D40" s="119"/>
      <c r="E40" s="144">
        <v>0</v>
      </c>
      <c r="F40" s="127">
        <v>0</v>
      </c>
      <c r="G40" s="176">
        <v>0</v>
      </c>
      <c r="H40" s="119">
        <v>0</v>
      </c>
      <c r="I40" s="144">
        <v>0</v>
      </c>
      <c r="J40" s="127">
        <f>-42+42</f>
        <v>0</v>
      </c>
      <c r="K40" s="176">
        <v>0</v>
      </c>
      <c r="L40" s="119">
        <v>0</v>
      </c>
      <c r="M40" s="144">
        <v>0</v>
      </c>
      <c r="N40" s="127">
        <v>0</v>
      </c>
      <c r="O40" s="176">
        <v>0</v>
      </c>
      <c r="P40" s="119">
        <v>0</v>
      </c>
      <c r="Q40" s="144">
        <v>0</v>
      </c>
      <c r="R40" s="127">
        <v>0</v>
      </c>
      <c r="S40" s="176">
        <v>0</v>
      </c>
      <c r="T40" s="119">
        <v>0</v>
      </c>
      <c r="U40" s="144">
        <v>0</v>
      </c>
      <c r="V40" s="127">
        <v>0</v>
      </c>
      <c r="W40" s="176">
        <v>0</v>
      </c>
      <c r="X40" s="450">
        <v>0</v>
      </c>
      <c r="Y40" s="498"/>
      <c r="Z40" s="115">
        <v>0</v>
      </c>
      <c r="AA40" s="127">
        <v>0</v>
      </c>
      <c r="AB40" s="176">
        <v>0</v>
      </c>
      <c r="AC40" s="119">
        <v>0</v>
      </c>
      <c r="AD40" s="144">
        <v>0</v>
      </c>
      <c r="AE40" s="127">
        <v>-5</v>
      </c>
      <c r="AF40" s="176">
        <v>0</v>
      </c>
      <c r="AG40" s="119">
        <v>0</v>
      </c>
      <c r="AH40" s="144">
        <v>0</v>
      </c>
      <c r="AJ40" s="31"/>
      <c r="AK40" s="163">
        <v>0</v>
      </c>
      <c r="AL40" s="115">
        <v>0</v>
      </c>
      <c r="AM40" s="115">
        <v>0</v>
      </c>
      <c r="AN40" s="115">
        <v>0</v>
      </c>
      <c r="AO40" s="110">
        <v>0</v>
      </c>
      <c r="AP40" s="498"/>
      <c r="AQ40" s="115">
        <v>0</v>
      </c>
      <c r="AR40" s="115">
        <v>0</v>
      </c>
      <c r="AS40" s="115">
        <f t="shared" si="30"/>
        <v>-5</v>
      </c>
      <c r="AV40" s="566"/>
      <c r="AW40" s="31"/>
    </row>
    <row r="41" spans="1:49" ht="12.75" customHeight="1" x14ac:dyDescent="0.35">
      <c r="A41" s="242" t="s">
        <v>6</v>
      </c>
      <c r="B41" s="127">
        <v>0</v>
      </c>
      <c r="C41" s="176">
        <v>1</v>
      </c>
      <c r="D41" s="119"/>
      <c r="E41" s="144">
        <v>0</v>
      </c>
      <c r="F41" s="127">
        <v>0</v>
      </c>
      <c r="G41" s="176">
        <v>0</v>
      </c>
      <c r="H41" s="119">
        <v>0</v>
      </c>
      <c r="I41" s="144">
        <v>0</v>
      </c>
      <c r="J41" s="127">
        <v>0</v>
      </c>
      <c r="K41" s="176">
        <v>0</v>
      </c>
      <c r="L41" s="119">
        <v>0</v>
      </c>
      <c r="M41" s="144">
        <v>0</v>
      </c>
      <c r="N41" s="127">
        <v>0</v>
      </c>
      <c r="O41" s="176">
        <v>0</v>
      </c>
      <c r="P41" s="119">
        <v>0</v>
      </c>
      <c r="Q41" s="144">
        <v>0</v>
      </c>
      <c r="R41" s="127">
        <v>0</v>
      </c>
      <c r="S41" s="176">
        <v>0</v>
      </c>
      <c r="T41" s="119">
        <v>0</v>
      </c>
      <c r="U41" s="144">
        <v>0</v>
      </c>
      <c r="V41" s="127">
        <v>0</v>
      </c>
      <c r="W41" s="176">
        <v>0</v>
      </c>
      <c r="X41" s="450">
        <v>0</v>
      </c>
      <c r="Y41" s="498"/>
      <c r="Z41" s="115">
        <v>0</v>
      </c>
      <c r="AA41" s="127">
        <v>0</v>
      </c>
      <c r="AB41" s="176">
        <v>0</v>
      </c>
      <c r="AC41" s="119">
        <v>0</v>
      </c>
      <c r="AD41" s="144">
        <v>0</v>
      </c>
      <c r="AE41" s="127">
        <v>0</v>
      </c>
      <c r="AF41" s="176">
        <v>0</v>
      </c>
      <c r="AG41" s="119">
        <v>0</v>
      </c>
      <c r="AH41" s="144">
        <v>0</v>
      </c>
      <c r="AJ41" s="31"/>
      <c r="AK41" s="163">
        <v>1</v>
      </c>
      <c r="AL41" s="115">
        <v>0</v>
      </c>
      <c r="AM41" s="115">
        <v>0</v>
      </c>
      <c r="AN41" s="115">
        <v>0</v>
      </c>
      <c r="AO41" s="110">
        <v>0</v>
      </c>
      <c r="AP41" s="498"/>
      <c r="AQ41" s="115">
        <v>0</v>
      </c>
      <c r="AR41" s="115">
        <v>0</v>
      </c>
      <c r="AS41" s="115">
        <f t="shared" si="30"/>
        <v>0</v>
      </c>
      <c r="AV41" s="566"/>
      <c r="AW41" s="31"/>
    </row>
    <row r="42" spans="1:49" ht="12.75" customHeight="1" x14ac:dyDescent="0.35">
      <c r="A42" s="242" t="s">
        <v>12</v>
      </c>
      <c r="B42" s="127"/>
      <c r="C42" s="176"/>
      <c r="D42" s="119">
        <v>1961</v>
      </c>
      <c r="E42" s="115">
        <v>0</v>
      </c>
      <c r="F42" s="127">
        <v>0</v>
      </c>
      <c r="G42" s="176">
        <v>0</v>
      </c>
      <c r="H42" s="119">
        <v>0</v>
      </c>
      <c r="I42" s="115">
        <v>0</v>
      </c>
      <c r="J42" s="127">
        <v>0</v>
      </c>
      <c r="K42" s="176">
        <v>0</v>
      </c>
      <c r="L42" s="119">
        <v>0</v>
      </c>
      <c r="M42" s="115">
        <v>0</v>
      </c>
      <c r="N42" s="127">
        <v>0</v>
      </c>
      <c r="O42" s="176">
        <v>0</v>
      </c>
      <c r="P42" s="119">
        <v>0</v>
      </c>
      <c r="Q42" s="115">
        <v>0</v>
      </c>
      <c r="R42" s="127">
        <v>0</v>
      </c>
      <c r="S42" s="176">
        <v>0</v>
      </c>
      <c r="T42" s="119">
        <v>0</v>
      </c>
      <c r="U42" s="115">
        <v>0</v>
      </c>
      <c r="V42" s="127">
        <v>0</v>
      </c>
      <c r="W42" s="176">
        <v>0</v>
      </c>
      <c r="X42" s="450">
        <v>0</v>
      </c>
      <c r="Y42" s="498"/>
      <c r="Z42" s="115">
        <v>0</v>
      </c>
      <c r="AA42" s="127">
        <v>0</v>
      </c>
      <c r="AB42" s="176">
        <v>0</v>
      </c>
      <c r="AC42" s="119">
        <v>0</v>
      </c>
      <c r="AD42" s="115">
        <v>0</v>
      </c>
      <c r="AE42" s="127">
        <v>0</v>
      </c>
      <c r="AF42" s="176">
        <v>0</v>
      </c>
      <c r="AG42" s="119">
        <v>0</v>
      </c>
      <c r="AH42" s="115">
        <v>0</v>
      </c>
      <c r="AJ42" s="31"/>
      <c r="AK42" s="163">
        <v>1961</v>
      </c>
      <c r="AL42" s="115">
        <v>0</v>
      </c>
      <c r="AM42" s="115">
        <v>0</v>
      </c>
      <c r="AN42" s="115">
        <v>0</v>
      </c>
      <c r="AO42" s="110">
        <v>0</v>
      </c>
      <c r="AP42" s="498"/>
      <c r="AQ42" s="115">
        <v>0</v>
      </c>
      <c r="AR42" s="115">
        <v>0</v>
      </c>
      <c r="AS42" s="115">
        <f t="shared" si="30"/>
        <v>0</v>
      </c>
      <c r="AV42" s="566"/>
      <c r="AW42" s="31"/>
    </row>
    <row r="43" spans="1:49" ht="12.75" customHeight="1" x14ac:dyDescent="0.35">
      <c r="A43" s="242" t="s">
        <v>15</v>
      </c>
      <c r="B43" s="127">
        <v>-1</v>
      </c>
      <c r="C43" s="110">
        <v>0</v>
      </c>
      <c r="D43" s="119">
        <v>40</v>
      </c>
      <c r="E43" s="115">
        <v>0</v>
      </c>
      <c r="F43" s="127">
        <v>0</v>
      </c>
      <c r="G43" s="110">
        <v>-1</v>
      </c>
      <c r="H43" s="119">
        <v>20</v>
      </c>
      <c r="I43" s="115">
        <v>0</v>
      </c>
      <c r="J43" s="127">
        <f>152-42</f>
        <v>110</v>
      </c>
      <c r="K43" s="110">
        <v>-1</v>
      </c>
      <c r="L43" s="119">
        <v>0</v>
      </c>
      <c r="M43" s="115">
        <v>3</v>
      </c>
      <c r="N43" s="127">
        <v>0</v>
      </c>
      <c r="O43" s="110">
        <v>0</v>
      </c>
      <c r="P43" s="119">
        <v>1</v>
      </c>
      <c r="Q43" s="115">
        <v>-1</v>
      </c>
      <c r="R43" s="127">
        <v>0</v>
      </c>
      <c r="S43" s="110">
        <v>0</v>
      </c>
      <c r="T43" s="119">
        <v>0</v>
      </c>
      <c r="U43" s="115">
        <v>0</v>
      </c>
      <c r="V43" s="127">
        <v>0</v>
      </c>
      <c r="W43" s="110">
        <v>0</v>
      </c>
      <c r="X43" s="450">
        <v>-3</v>
      </c>
      <c r="Y43" s="498"/>
      <c r="Z43" s="115">
        <v>-5</v>
      </c>
      <c r="AA43" s="127">
        <v>-4</v>
      </c>
      <c r="AB43" s="110">
        <v>-2</v>
      </c>
      <c r="AC43" s="119">
        <v>-4</v>
      </c>
      <c r="AD43" s="115">
        <v>-41</v>
      </c>
      <c r="AE43" s="127">
        <v>24</v>
      </c>
      <c r="AF43" s="110">
        <v>-2</v>
      </c>
      <c r="AG43" s="119">
        <v>-1</v>
      </c>
      <c r="AH43" s="115">
        <v>-2</v>
      </c>
      <c r="AJ43" s="31"/>
      <c r="AK43" s="163">
        <v>39</v>
      </c>
      <c r="AL43" s="163">
        <v>19</v>
      </c>
      <c r="AM43" s="163">
        <v>112</v>
      </c>
      <c r="AN43" s="163">
        <v>0</v>
      </c>
      <c r="AO43" s="474">
        <v>0</v>
      </c>
      <c r="AP43" s="498"/>
      <c r="AQ43" s="115">
        <v>-8</v>
      </c>
      <c r="AR43" s="115">
        <v>-51</v>
      </c>
      <c r="AS43" s="115">
        <f t="shared" si="30"/>
        <v>19</v>
      </c>
      <c r="AV43" s="566"/>
      <c r="AW43" s="31"/>
    </row>
    <row r="44" spans="1:49" ht="12.75" customHeight="1" thickBot="1" x14ac:dyDescent="0.4">
      <c r="A44" s="109" t="s">
        <v>270</v>
      </c>
      <c r="B44" s="131">
        <v>1</v>
      </c>
      <c r="C44" s="276">
        <v>-1</v>
      </c>
      <c r="D44" s="122">
        <v>1</v>
      </c>
      <c r="E44" s="149">
        <v>-1</v>
      </c>
      <c r="F44" s="131">
        <v>2</v>
      </c>
      <c r="G44" s="276">
        <v>0</v>
      </c>
      <c r="H44" s="122">
        <v>2</v>
      </c>
      <c r="I44" s="149">
        <v>2</v>
      </c>
      <c r="J44" s="131">
        <v>0</v>
      </c>
      <c r="K44" s="276">
        <v>0</v>
      </c>
      <c r="L44" s="122">
        <v>1</v>
      </c>
      <c r="M44" s="149">
        <v>1</v>
      </c>
      <c r="N44" s="131">
        <v>0</v>
      </c>
      <c r="O44" s="276">
        <v>0</v>
      </c>
      <c r="P44" s="122">
        <v>-1</v>
      </c>
      <c r="Q44" s="149">
        <v>1</v>
      </c>
      <c r="R44" s="131">
        <v>0</v>
      </c>
      <c r="S44" s="276">
        <v>2</v>
      </c>
      <c r="T44" s="122">
        <v>2</v>
      </c>
      <c r="U44" s="149">
        <v>-1</v>
      </c>
      <c r="V44" s="131">
        <v>-3</v>
      </c>
      <c r="W44" s="276">
        <v>0</v>
      </c>
      <c r="X44" s="276">
        <v>-4</v>
      </c>
      <c r="Y44" s="498"/>
      <c r="Z44" s="464">
        <v>0</v>
      </c>
      <c r="AA44" s="131">
        <v>-2</v>
      </c>
      <c r="AB44" s="276">
        <v>-2</v>
      </c>
      <c r="AC44" s="122">
        <v>-1</v>
      </c>
      <c r="AD44" s="149">
        <v>1</v>
      </c>
      <c r="AE44" s="131">
        <v>-1</v>
      </c>
      <c r="AF44" s="276">
        <v>3</v>
      </c>
      <c r="AG44" s="122">
        <v>-1</v>
      </c>
      <c r="AH44" s="149">
        <v>-3</v>
      </c>
      <c r="AJ44" s="31"/>
      <c r="AK44" s="165">
        <v>0</v>
      </c>
      <c r="AL44" s="165">
        <v>6</v>
      </c>
      <c r="AM44" s="165">
        <v>2</v>
      </c>
      <c r="AN44" s="165">
        <v>0</v>
      </c>
      <c r="AO44" s="478">
        <v>3</v>
      </c>
      <c r="AP44" s="498"/>
      <c r="AQ44" s="464">
        <v>-7</v>
      </c>
      <c r="AR44" s="464">
        <v>-4</v>
      </c>
      <c r="AS44" s="464">
        <f t="shared" si="30"/>
        <v>-2</v>
      </c>
      <c r="AV44" s="566"/>
      <c r="AW44" s="31"/>
    </row>
    <row r="45" spans="1:49" ht="12.75" customHeight="1" thickTop="1" x14ac:dyDescent="0.35">
      <c r="A45" s="109"/>
      <c r="B45" s="127"/>
      <c r="C45" s="110"/>
      <c r="D45" s="119"/>
      <c r="E45" s="144"/>
      <c r="F45" s="127"/>
      <c r="G45" s="110"/>
      <c r="H45" s="119"/>
      <c r="I45" s="144"/>
      <c r="J45" s="127"/>
      <c r="K45" s="110"/>
      <c r="L45" s="119"/>
      <c r="M45" s="144"/>
      <c r="N45" s="127"/>
      <c r="O45" s="110"/>
      <c r="P45" s="119"/>
      <c r="Q45" s="144"/>
      <c r="R45" s="127"/>
      <c r="S45" s="110"/>
      <c r="T45" s="119"/>
      <c r="U45" s="144"/>
      <c r="V45" s="127"/>
      <c r="W45" s="110"/>
      <c r="X45" s="450"/>
      <c r="Y45" s="498"/>
      <c r="Z45" s="115"/>
      <c r="AA45" s="127"/>
      <c r="AB45" s="110"/>
      <c r="AC45" s="119"/>
      <c r="AD45" s="144"/>
      <c r="AE45" s="127"/>
      <c r="AF45" s="110"/>
      <c r="AG45" s="119"/>
      <c r="AH45" s="144"/>
      <c r="AJ45" s="31"/>
      <c r="AK45" s="163"/>
      <c r="AL45" s="163"/>
      <c r="AM45" s="163"/>
      <c r="AN45" s="163"/>
      <c r="AO45" s="474"/>
      <c r="AP45" s="498"/>
      <c r="AQ45" s="115"/>
      <c r="AR45" s="115"/>
      <c r="AS45" s="115"/>
      <c r="AV45" s="566"/>
      <c r="AW45" s="31"/>
    </row>
    <row r="46" spans="1:49" ht="12.75" customHeight="1" x14ac:dyDescent="0.35">
      <c r="A46" s="107" t="s">
        <v>271</v>
      </c>
      <c r="B46" s="126">
        <v>138</v>
      </c>
      <c r="C46" s="274">
        <v>137</v>
      </c>
      <c r="D46" s="118">
        <v>2211</v>
      </c>
      <c r="E46" s="143">
        <v>224</v>
      </c>
      <c r="F46" s="126">
        <v>54</v>
      </c>
      <c r="G46" s="274">
        <f t="shared" ref="G46" si="31">+G7+G20+G27+G39+G35</f>
        <v>157</v>
      </c>
      <c r="H46" s="118">
        <v>233</v>
      </c>
      <c r="I46" s="143">
        <f>+I7+I20+I27+I35+I39</f>
        <v>197</v>
      </c>
      <c r="J46" s="126">
        <v>68</v>
      </c>
      <c r="K46" s="274">
        <v>-145</v>
      </c>
      <c r="L46" s="118">
        <v>32</v>
      </c>
      <c r="M46" s="143">
        <v>463</v>
      </c>
      <c r="N46" s="126">
        <v>492</v>
      </c>
      <c r="O46" s="274">
        <v>573</v>
      </c>
      <c r="P46" s="118">
        <v>711</v>
      </c>
      <c r="Q46" s="143">
        <v>807</v>
      </c>
      <c r="R46" s="126">
        <v>873</v>
      </c>
      <c r="S46" s="274">
        <v>943</v>
      </c>
      <c r="T46" s="118">
        <v>1001</v>
      </c>
      <c r="U46" s="143">
        <v>980</v>
      </c>
      <c r="V46" s="126">
        <v>825</v>
      </c>
      <c r="W46" s="274">
        <v>937</v>
      </c>
      <c r="X46" s="449">
        <v>992</v>
      </c>
      <c r="Y46" s="497"/>
      <c r="Z46" s="114">
        <v>907</v>
      </c>
      <c r="AA46" s="126">
        <v>856</v>
      </c>
      <c r="AB46" s="274">
        <v>896</v>
      </c>
      <c r="AC46" s="118">
        <v>990</v>
      </c>
      <c r="AD46" s="143">
        <v>675</v>
      </c>
      <c r="AE46" s="126">
        <v>723</v>
      </c>
      <c r="AF46" s="274">
        <v>687</v>
      </c>
      <c r="AG46" s="118">
        <v>893</v>
      </c>
      <c r="AH46" s="143">
        <v>744</v>
      </c>
      <c r="AJ46" s="31"/>
      <c r="AK46" s="162">
        <v>2710</v>
      </c>
      <c r="AL46" s="162">
        <v>641</v>
      </c>
      <c r="AM46" s="162">
        <v>418</v>
      </c>
      <c r="AN46" s="162">
        <v>2583</v>
      </c>
      <c r="AO46" s="472">
        <v>3797</v>
      </c>
      <c r="AP46" s="497"/>
      <c r="AQ46" s="114">
        <v>3661</v>
      </c>
      <c r="AR46" s="114">
        <v>3417</v>
      </c>
      <c r="AS46" s="114">
        <f t="shared" ref="AS46:AS53" si="32">SUM(AE46:AH46)</f>
        <v>3047</v>
      </c>
      <c r="AV46" s="566"/>
      <c r="AW46" s="31"/>
    </row>
    <row r="47" spans="1:49" ht="12.75" customHeight="1" x14ac:dyDescent="0.35">
      <c r="A47" s="109" t="s">
        <v>3</v>
      </c>
      <c r="B47" s="127">
        <v>-382</v>
      </c>
      <c r="C47" s="110">
        <v>-384</v>
      </c>
      <c r="D47" s="119">
        <v>-384</v>
      </c>
      <c r="E47" s="144">
        <v>-385</v>
      </c>
      <c r="F47" s="127">
        <v>-375</v>
      </c>
      <c r="G47" s="110">
        <f>+G8+G28+G36</f>
        <v>-377</v>
      </c>
      <c r="H47" s="119">
        <v>-382</v>
      </c>
      <c r="I47" s="144">
        <f>+I8+I28+I36</f>
        <v>-394</v>
      </c>
      <c r="J47" s="127">
        <f>-461+42</f>
        <v>-419</v>
      </c>
      <c r="K47" s="110">
        <v>-402</v>
      </c>
      <c r="L47" s="119">
        <v>-441</v>
      </c>
      <c r="M47" s="144">
        <v>-171</v>
      </c>
      <c r="N47" s="127">
        <v>-198</v>
      </c>
      <c r="O47" s="110">
        <v>-159</v>
      </c>
      <c r="P47" s="119">
        <v>-159</v>
      </c>
      <c r="Q47" s="144">
        <v>-155</v>
      </c>
      <c r="R47" s="127">
        <v>-150</v>
      </c>
      <c r="S47" s="110">
        <v>-149</v>
      </c>
      <c r="T47" s="119">
        <v>-148</v>
      </c>
      <c r="U47" s="144">
        <v>-125</v>
      </c>
      <c r="V47" s="127">
        <v>-99</v>
      </c>
      <c r="W47" s="110">
        <v>-95</v>
      </c>
      <c r="X47" s="450">
        <v>-85</v>
      </c>
      <c r="Y47" s="498"/>
      <c r="Z47" s="115">
        <v>-77</v>
      </c>
      <c r="AA47" s="127">
        <v>-63</v>
      </c>
      <c r="AB47" s="110">
        <v>-41</v>
      </c>
      <c r="AC47" s="119">
        <v>-42</v>
      </c>
      <c r="AD47" s="144">
        <v>-39</v>
      </c>
      <c r="AE47" s="127">
        <v>-40</v>
      </c>
      <c r="AF47" s="110">
        <v>-32</v>
      </c>
      <c r="AG47" s="119">
        <v>-38</v>
      </c>
      <c r="AH47" s="144">
        <v>-41</v>
      </c>
      <c r="AJ47" s="31"/>
      <c r="AK47" s="163">
        <v>-1535</v>
      </c>
      <c r="AL47" s="163">
        <v>-1528</v>
      </c>
      <c r="AM47" s="163">
        <v>-1433</v>
      </c>
      <c r="AN47" s="163">
        <v>-671</v>
      </c>
      <c r="AO47" s="474">
        <v>-572</v>
      </c>
      <c r="AP47" s="498"/>
      <c r="AQ47" s="115">
        <v>-356</v>
      </c>
      <c r="AR47" s="115">
        <v>-185</v>
      </c>
      <c r="AS47" s="115">
        <f t="shared" si="32"/>
        <v>-151</v>
      </c>
      <c r="AV47" s="566"/>
      <c r="AW47" s="31"/>
    </row>
    <row r="48" spans="1:49" ht="12.75" customHeight="1" x14ac:dyDescent="0.35">
      <c r="A48" s="109" t="s">
        <v>6</v>
      </c>
      <c r="B48" s="127">
        <v>-1</v>
      </c>
      <c r="C48" s="110">
        <v>1</v>
      </c>
      <c r="D48" s="119">
        <v>-5</v>
      </c>
      <c r="E48" s="144">
        <v>-1</v>
      </c>
      <c r="F48" s="127">
        <v>-25</v>
      </c>
      <c r="G48" s="110">
        <f>+G9+G21+G29</f>
        <v>-5</v>
      </c>
      <c r="H48" s="119">
        <v>1</v>
      </c>
      <c r="I48" s="144">
        <f>+I9+I21+I29+I41</f>
        <v>1</v>
      </c>
      <c r="J48" s="127">
        <v>-11</v>
      </c>
      <c r="K48" s="110">
        <v>-8</v>
      </c>
      <c r="L48" s="119">
        <v>-21</v>
      </c>
      <c r="M48" s="144">
        <v>-38</v>
      </c>
      <c r="N48" s="127">
        <v>0</v>
      </c>
      <c r="O48" s="110">
        <v>-1</v>
      </c>
      <c r="P48" s="119">
        <v>0</v>
      </c>
      <c r="Q48" s="144">
        <v>0</v>
      </c>
      <c r="R48" s="127">
        <v>1</v>
      </c>
      <c r="S48" s="110">
        <v>4</v>
      </c>
      <c r="T48" s="119">
        <v>0</v>
      </c>
      <c r="U48" s="144">
        <v>2</v>
      </c>
      <c r="V48" s="127">
        <v>-18</v>
      </c>
      <c r="W48" s="110">
        <v>0</v>
      </c>
      <c r="X48" s="450">
        <v>4</v>
      </c>
      <c r="Y48" s="498"/>
      <c r="Z48" s="115">
        <v>-84</v>
      </c>
      <c r="AA48" s="127">
        <v>-7</v>
      </c>
      <c r="AB48" s="110">
        <v>-6</v>
      </c>
      <c r="AC48" s="119">
        <v>0</v>
      </c>
      <c r="AD48" s="144">
        <v>-112</v>
      </c>
      <c r="AE48" s="127">
        <v>-14</v>
      </c>
      <c r="AF48" s="110">
        <v>-67</v>
      </c>
      <c r="AG48" s="119">
        <v>-3</v>
      </c>
      <c r="AH48" s="144">
        <v>-177</v>
      </c>
      <c r="AJ48" s="31"/>
      <c r="AK48" s="163">
        <v>-6</v>
      </c>
      <c r="AL48" s="163">
        <v>-28</v>
      </c>
      <c r="AM48" s="163">
        <v>-78</v>
      </c>
      <c r="AN48" s="163">
        <v>-1</v>
      </c>
      <c r="AO48" s="474">
        <v>7</v>
      </c>
      <c r="AP48" s="498"/>
      <c r="AQ48" s="115">
        <v>-98</v>
      </c>
      <c r="AR48" s="115">
        <v>-125</v>
      </c>
      <c r="AS48" s="115">
        <f t="shared" si="32"/>
        <v>-261</v>
      </c>
      <c r="AV48" s="566"/>
      <c r="AW48" s="31"/>
    </row>
    <row r="49" spans="1:49" ht="12.75" customHeight="1" x14ac:dyDescent="0.35">
      <c r="A49" s="109" t="s">
        <v>9</v>
      </c>
      <c r="B49" s="127">
        <v>-69</v>
      </c>
      <c r="C49" s="110">
        <v>-69</v>
      </c>
      <c r="D49" s="119">
        <v>-83</v>
      </c>
      <c r="E49" s="144">
        <v>-93</v>
      </c>
      <c r="F49" s="127">
        <v>-86</v>
      </c>
      <c r="G49" s="110">
        <f>+G10+G22+G30</f>
        <v>-87</v>
      </c>
      <c r="H49" s="119">
        <v>-84</v>
      </c>
      <c r="I49" s="144">
        <f>+I10+I22+I30</f>
        <v>-89</v>
      </c>
      <c r="J49" s="127">
        <v>-107</v>
      </c>
      <c r="K49" s="110">
        <v>-105</v>
      </c>
      <c r="L49" s="119">
        <v>-83</v>
      </c>
      <c r="M49" s="144">
        <v>-89</v>
      </c>
      <c r="N49" s="127">
        <v>-91</v>
      </c>
      <c r="O49" s="110">
        <v>-93</v>
      </c>
      <c r="P49" s="119">
        <v>-81</v>
      </c>
      <c r="Q49" s="144">
        <v>-88</v>
      </c>
      <c r="R49" s="127">
        <v>-89</v>
      </c>
      <c r="S49" s="110">
        <v>-89</v>
      </c>
      <c r="T49" s="119">
        <v>-89</v>
      </c>
      <c r="U49" s="144">
        <v>-97</v>
      </c>
      <c r="V49" s="127">
        <v>-99</v>
      </c>
      <c r="W49" s="110">
        <v>-102</v>
      </c>
      <c r="X49" s="450">
        <v>-103</v>
      </c>
      <c r="Y49" s="498"/>
      <c r="Z49" s="115">
        <v>-107</v>
      </c>
      <c r="AA49" s="127">
        <v>-115</v>
      </c>
      <c r="AB49" s="110">
        <v>-114</v>
      </c>
      <c r="AC49" s="119">
        <v>-115</v>
      </c>
      <c r="AD49" s="144">
        <v>-117</v>
      </c>
      <c r="AE49" s="127">
        <v>-127</v>
      </c>
      <c r="AF49" s="110">
        <v>-117</v>
      </c>
      <c r="AG49" s="119">
        <v>-118</v>
      </c>
      <c r="AH49" s="144">
        <v>-100</v>
      </c>
      <c r="AJ49" s="31"/>
      <c r="AK49" s="163">
        <v>-314</v>
      </c>
      <c r="AL49" s="163">
        <v>-346</v>
      </c>
      <c r="AM49" s="163">
        <v>-384</v>
      </c>
      <c r="AN49" s="163">
        <v>-353</v>
      </c>
      <c r="AO49" s="474">
        <v>-364</v>
      </c>
      <c r="AP49" s="498"/>
      <c r="AQ49" s="115">
        <v>-411</v>
      </c>
      <c r="AR49" s="115">
        <v>-461</v>
      </c>
      <c r="AS49" s="115">
        <f t="shared" si="32"/>
        <v>-462</v>
      </c>
      <c r="AV49" s="566"/>
      <c r="AW49" s="564"/>
    </row>
    <row r="50" spans="1:49" ht="12.75" customHeight="1" x14ac:dyDescent="0.35">
      <c r="A50" s="109" t="s">
        <v>12</v>
      </c>
      <c r="B50" s="127">
        <v>-26</v>
      </c>
      <c r="C50" s="110">
        <v>-25</v>
      </c>
      <c r="D50" s="119">
        <v>1914</v>
      </c>
      <c r="E50" s="144">
        <v>-15</v>
      </c>
      <c r="F50" s="127">
        <v>-13</v>
      </c>
      <c r="G50" s="110">
        <f>+G11+G23+G31</f>
        <v>-10</v>
      </c>
      <c r="H50" s="119">
        <v>-6</v>
      </c>
      <c r="I50" s="144">
        <f>+I11+I23+I31+I42</f>
        <v>-4</v>
      </c>
      <c r="J50" s="127">
        <v>-4</v>
      </c>
      <c r="K50" s="110">
        <v>-3</v>
      </c>
      <c r="L50" s="119">
        <v>-1</v>
      </c>
      <c r="M50" s="144">
        <v>0</v>
      </c>
      <c r="N50" s="127">
        <v>0</v>
      </c>
      <c r="O50" s="110">
        <v>0</v>
      </c>
      <c r="P50" s="119">
        <v>0</v>
      </c>
      <c r="Q50" s="144">
        <v>0</v>
      </c>
      <c r="R50" s="127">
        <v>0</v>
      </c>
      <c r="S50" s="110">
        <v>0</v>
      </c>
      <c r="T50" s="119">
        <v>0</v>
      </c>
      <c r="U50" s="144">
        <v>0</v>
      </c>
      <c r="V50" s="127">
        <v>0</v>
      </c>
      <c r="W50" s="110">
        <v>0</v>
      </c>
      <c r="X50" s="450">
        <v>0</v>
      </c>
      <c r="Y50" s="498"/>
      <c r="Z50" s="115">
        <v>0</v>
      </c>
      <c r="AA50" s="127">
        <v>0</v>
      </c>
      <c r="AB50" s="110">
        <v>0</v>
      </c>
      <c r="AC50" s="119">
        <v>0</v>
      </c>
      <c r="AD50" s="144">
        <v>0</v>
      </c>
      <c r="AE50" s="127">
        <v>0</v>
      </c>
      <c r="AF50" s="110">
        <v>0</v>
      </c>
      <c r="AG50" s="119">
        <v>0</v>
      </c>
      <c r="AH50" s="144">
        <v>0</v>
      </c>
      <c r="AJ50" s="31"/>
      <c r="AK50" s="163">
        <v>1848</v>
      </c>
      <c r="AL50" s="163">
        <v>-33</v>
      </c>
      <c r="AM50" s="163">
        <v>-8</v>
      </c>
      <c r="AN50" s="163">
        <v>0</v>
      </c>
      <c r="AO50" s="474">
        <v>0</v>
      </c>
      <c r="AP50" s="498"/>
      <c r="AQ50" s="115">
        <v>0</v>
      </c>
      <c r="AR50" s="115">
        <v>0</v>
      </c>
      <c r="AS50" s="115">
        <f t="shared" si="32"/>
        <v>0</v>
      </c>
      <c r="AV50" s="566"/>
      <c r="AW50" s="31"/>
    </row>
    <row r="51" spans="1:49" ht="12.75" customHeight="1" x14ac:dyDescent="0.35">
      <c r="A51" s="109" t="s">
        <v>15</v>
      </c>
      <c r="B51" s="127">
        <v>-1</v>
      </c>
      <c r="C51" s="110">
        <v>-4</v>
      </c>
      <c r="D51" s="119">
        <v>36</v>
      </c>
      <c r="E51" s="144">
        <v>-13</v>
      </c>
      <c r="F51" s="127">
        <v>-6</v>
      </c>
      <c r="G51" s="110">
        <f>+G12+G24+G32+G43</f>
        <v>-4</v>
      </c>
      <c r="H51" s="119">
        <v>17</v>
      </c>
      <c r="I51" s="144">
        <f>+I12+I24+I32+I43</f>
        <v>-4</v>
      </c>
      <c r="J51" s="127">
        <f>149-42</f>
        <v>107</v>
      </c>
      <c r="K51" s="110">
        <v>-3</v>
      </c>
      <c r="L51" s="119">
        <v>-8</v>
      </c>
      <c r="M51" s="144">
        <v>-3</v>
      </c>
      <c r="N51" s="127">
        <v>-11</v>
      </c>
      <c r="O51" s="110">
        <v>-4</v>
      </c>
      <c r="P51" s="119">
        <v>-8</v>
      </c>
      <c r="Q51" s="144">
        <v>-10</v>
      </c>
      <c r="R51" s="127">
        <v>-8</v>
      </c>
      <c r="S51" s="110">
        <v>-16</v>
      </c>
      <c r="T51" s="119">
        <v>-33</v>
      </c>
      <c r="U51" s="144">
        <v>-8</v>
      </c>
      <c r="V51" s="127">
        <v>-44</v>
      </c>
      <c r="W51" s="110">
        <v>-21</v>
      </c>
      <c r="X51" s="450">
        <v>-27</v>
      </c>
      <c r="Y51" s="498"/>
      <c r="Z51" s="115">
        <v>-44</v>
      </c>
      <c r="AA51" s="127">
        <v>-39</v>
      </c>
      <c r="AB51" s="110">
        <v>-14</v>
      </c>
      <c r="AC51" s="119">
        <v>-6</v>
      </c>
      <c r="AD51" s="144">
        <v>-122</v>
      </c>
      <c r="AE51" s="127">
        <v>0</v>
      </c>
      <c r="AF51" s="110">
        <v>-32</v>
      </c>
      <c r="AG51" s="119">
        <v>-19</v>
      </c>
      <c r="AH51" s="144">
        <v>-92</v>
      </c>
      <c r="AJ51" s="31"/>
      <c r="AK51" s="163">
        <v>18</v>
      </c>
      <c r="AL51" s="163">
        <v>3</v>
      </c>
      <c r="AM51" s="163">
        <v>93</v>
      </c>
      <c r="AN51" s="163">
        <v>-33</v>
      </c>
      <c r="AO51" s="474">
        <v>-65</v>
      </c>
      <c r="AP51" s="498"/>
      <c r="AQ51" s="115">
        <v>-136</v>
      </c>
      <c r="AR51" s="115">
        <v>-181</v>
      </c>
      <c r="AS51" s="115">
        <f t="shared" si="32"/>
        <v>-143</v>
      </c>
      <c r="AV51" s="566"/>
      <c r="AW51" s="31"/>
    </row>
    <row r="52" spans="1:49" ht="12.75" customHeight="1" x14ac:dyDescent="0.35">
      <c r="A52" s="109" t="s">
        <v>259</v>
      </c>
      <c r="B52" s="127">
        <v>0</v>
      </c>
      <c r="C52" s="275">
        <v>0</v>
      </c>
      <c r="D52" s="119">
        <v>0</v>
      </c>
      <c r="E52" s="115">
        <v>0</v>
      </c>
      <c r="F52" s="127">
        <v>0</v>
      </c>
      <c r="G52" s="275">
        <f>+G13</f>
        <v>0</v>
      </c>
      <c r="H52" s="119">
        <v>0</v>
      </c>
      <c r="I52" s="115">
        <f>+I13</f>
        <v>0</v>
      </c>
      <c r="J52" s="127">
        <v>0</v>
      </c>
      <c r="K52" s="275">
        <v>0</v>
      </c>
      <c r="L52" s="119">
        <v>0</v>
      </c>
      <c r="M52" s="115">
        <v>0</v>
      </c>
      <c r="N52" s="127">
        <v>0</v>
      </c>
      <c r="O52" s="275">
        <v>0</v>
      </c>
      <c r="P52" s="119">
        <v>0</v>
      </c>
      <c r="Q52" s="115">
        <v>0</v>
      </c>
      <c r="R52" s="127">
        <v>0</v>
      </c>
      <c r="S52" s="275">
        <v>0</v>
      </c>
      <c r="T52" s="119">
        <v>0</v>
      </c>
      <c r="U52" s="115">
        <v>0</v>
      </c>
      <c r="V52" s="127">
        <v>0</v>
      </c>
      <c r="W52" s="275">
        <v>0</v>
      </c>
      <c r="X52" s="450">
        <v>0</v>
      </c>
      <c r="Y52" s="498"/>
      <c r="Z52" s="115">
        <v>0</v>
      </c>
      <c r="AA52" s="127">
        <v>0</v>
      </c>
      <c r="AB52" s="275">
        <v>0</v>
      </c>
      <c r="AC52" s="119">
        <v>0</v>
      </c>
      <c r="AD52" s="115">
        <v>0</v>
      </c>
      <c r="AE52" s="127">
        <v>0</v>
      </c>
      <c r="AF52" s="275">
        <v>0</v>
      </c>
      <c r="AG52" s="119"/>
      <c r="AH52" s="115"/>
      <c r="AJ52" s="31"/>
      <c r="AK52" s="186">
        <v>0</v>
      </c>
      <c r="AL52" s="186">
        <v>0</v>
      </c>
      <c r="AM52" s="186">
        <v>0</v>
      </c>
      <c r="AN52" s="186">
        <v>0</v>
      </c>
      <c r="AO52" s="479">
        <v>0</v>
      </c>
      <c r="AP52" s="498"/>
      <c r="AQ52" s="465">
        <v>0</v>
      </c>
      <c r="AR52" s="465">
        <v>0</v>
      </c>
      <c r="AS52" s="465">
        <f t="shared" si="32"/>
        <v>0</v>
      </c>
      <c r="AV52" s="566"/>
      <c r="AW52" s="31"/>
    </row>
    <row r="53" spans="1:49" ht="12.75" customHeight="1" thickBot="1" x14ac:dyDescent="0.4">
      <c r="A53" s="107" t="s">
        <v>272</v>
      </c>
      <c r="B53" s="128">
        <v>617</v>
      </c>
      <c r="C53" s="259">
        <v>618</v>
      </c>
      <c r="D53" s="120">
        <v>733</v>
      </c>
      <c r="E53" s="145">
        <v>731</v>
      </c>
      <c r="F53" s="128">
        <v>559</v>
      </c>
      <c r="G53" s="259">
        <f>+G14+G25+G33+G37+G44</f>
        <v>640</v>
      </c>
      <c r="H53" s="120">
        <v>687</v>
      </c>
      <c r="I53" s="145">
        <f>+I14+I25+I33+I37+I44</f>
        <v>687</v>
      </c>
      <c r="J53" s="128">
        <v>502</v>
      </c>
      <c r="K53" s="259">
        <v>376</v>
      </c>
      <c r="L53" s="120">
        <v>586</v>
      </c>
      <c r="M53" s="145">
        <v>764</v>
      </c>
      <c r="N53" s="128">
        <v>792</v>
      </c>
      <c r="O53" s="259">
        <v>830</v>
      </c>
      <c r="P53" s="120">
        <v>959</v>
      </c>
      <c r="Q53" s="145">
        <v>1060</v>
      </c>
      <c r="R53" s="128">
        <v>1119</v>
      </c>
      <c r="S53" s="259">
        <v>1193</v>
      </c>
      <c r="T53" s="120">
        <v>1271</v>
      </c>
      <c r="U53" s="145">
        <v>1208</v>
      </c>
      <c r="V53" s="128">
        <v>1085</v>
      </c>
      <c r="W53" s="259">
        <v>1155</v>
      </c>
      <c r="X53" s="259">
        <v>1203</v>
      </c>
      <c r="Y53" s="497"/>
      <c r="Z53" s="116">
        <v>1219</v>
      </c>
      <c r="AA53" s="128">
        <v>1080</v>
      </c>
      <c r="AB53" s="259">
        <v>1071</v>
      </c>
      <c r="AC53" s="120">
        <v>1153</v>
      </c>
      <c r="AD53" s="145">
        <v>1065</v>
      </c>
      <c r="AE53" s="128">
        <v>904</v>
      </c>
      <c r="AF53" s="259">
        <v>935</v>
      </c>
      <c r="AG53" s="120">
        <v>1071</v>
      </c>
      <c r="AH53" s="145">
        <v>1154</v>
      </c>
      <c r="AJ53" s="31"/>
      <c r="AK53" s="322">
        <v>2699</v>
      </c>
      <c r="AL53" s="322">
        <v>2573</v>
      </c>
      <c r="AM53" s="322">
        <v>2228</v>
      </c>
      <c r="AN53" s="322">
        <v>3641</v>
      </c>
      <c r="AO53" s="480">
        <v>4791</v>
      </c>
      <c r="AP53" s="497"/>
      <c r="AQ53" s="488">
        <v>4662</v>
      </c>
      <c r="AR53" s="488">
        <v>4369</v>
      </c>
      <c r="AS53" s="488">
        <f t="shared" si="32"/>
        <v>4064</v>
      </c>
      <c r="AV53" s="566"/>
      <c r="AW53" s="31"/>
    </row>
    <row r="54" spans="1:49" ht="12.75" customHeight="1" thickTop="1" x14ac:dyDescent="0.35">
      <c r="A54" s="108"/>
      <c r="B54" s="129"/>
      <c r="C54" s="324"/>
      <c r="D54" s="121"/>
      <c r="E54" s="146"/>
      <c r="F54" s="129"/>
      <c r="G54" s="324"/>
      <c r="H54" s="121"/>
      <c r="I54" s="146"/>
      <c r="J54" s="129"/>
      <c r="K54" s="324"/>
      <c r="L54" s="121"/>
      <c r="M54" s="146"/>
      <c r="N54" s="129"/>
      <c r="O54" s="324"/>
      <c r="P54" s="121"/>
      <c r="Q54" s="146"/>
      <c r="R54" s="129"/>
      <c r="S54" s="324"/>
      <c r="T54" s="121"/>
      <c r="U54" s="146"/>
      <c r="V54" s="129"/>
      <c r="W54" s="324"/>
      <c r="X54" s="327"/>
      <c r="Y54" s="499"/>
      <c r="Z54" s="461"/>
      <c r="AA54" s="129"/>
      <c r="AB54" s="324"/>
      <c r="AC54" s="121"/>
      <c r="AD54" s="146"/>
      <c r="AE54" s="129"/>
      <c r="AF54" s="324"/>
      <c r="AG54" s="121"/>
      <c r="AH54" s="146"/>
      <c r="AJ54" s="31"/>
      <c r="AK54" s="183"/>
      <c r="AL54" s="183"/>
      <c r="AM54" s="183"/>
      <c r="AN54" s="183"/>
      <c r="AO54" s="476"/>
      <c r="AP54" s="507"/>
      <c r="AQ54" s="486"/>
      <c r="AR54" s="486"/>
      <c r="AS54" s="486"/>
      <c r="AV54" s="566"/>
      <c r="AW54" s="31"/>
    </row>
    <row r="55" spans="1:49" ht="12.75" customHeight="1" x14ac:dyDescent="0.35">
      <c r="A55" s="107" t="s">
        <v>273</v>
      </c>
      <c r="B55" s="130">
        <v>6.0999999999999999E-2</v>
      </c>
      <c r="C55" s="325">
        <v>0.06</v>
      </c>
      <c r="D55" s="178">
        <v>0.90400000000000003</v>
      </c>
      <c r="E55" s="147">
        <v>9.321681231793591E-2</v>
      </c>
      <c r="F55" s="130">
        <v>2.5999999999999999E-2</v>
      </c>
      <c r="G55" s="325">
        <f t="shared" ref="G55" si="33">G46/G5</f>
        <v>7.0816418583671631E-2</v>
      </c>
      <c r="H55" s="325">
        <f t="shared" ref="H55:J55" si="34">H46/H5</f>
        <v>0.10286975717439294</v>
      </c>
      <c r="I55" s="147">
        <f t="shared" si="34"/>
        <v>8.5614950021729683E-2</v>
      </c>
      <c r="J55" s="130">
        <f t="shared" si="34"/>
        <v>3.3646709549727857E-2</v>
      </c>
      <c r="K55" s="325">
        <f t="shared" ref="K55:N55" si="35">K46/K5</f>
        <v>-7.9801871216290593E-2</v>
      </c>
      <c r="L55" s="325">
        <f t="shared" si="35"/>
        <v>1.4115571239523599E-2</v>
      </c>
      <c r="M55" s="147">
        <f t="shared" si="35"/>
        <v>0.18468288791384124</v>
      </c>
      <c r="N55" s="130">
        <f t="shared" si="35"/>
        <v>0.19166342033502143</v>
      </c>
      <c r="O55" s="325">
        <f t="shared" ref="O55:R55" si="36">O46/O5</f>
        <v>0.22072419106317412</v>
      </c>
      <c r="P55" s="325">
        <f t="shared" si="36"/>
        <v>0.24851450541768613</v>
      </c>
      <c r="Q55" s="147">
        <f t="shared" si="36"/>
        <v>0.26554787759131293</v>
      </c>
      <c r="R55" s="130">
        <f t="shared" si="36"/>
        <v>0.27838010204081631</v>
      </c>
      <c r="S55" s="325">
        <f t="shared" ref="S55:T55" si="37">S46/S5</f>
        <v>0.28472222222222221</v>
      </c>
      <c r="T55" s="325">
        <f t="shared" si="37"/>
        <v>0.29056603773584905</v>
      </c>
      <c r="U55" s="325">
        <f t="shared" ref="U55:X55" si="38">U46/U5</f>
        <v>0.29589371980676327</v>
      </c>
      <c r="V55" s="130">
        <f t="shared" si="38"/>
        <v>0.26433835309195769</v>
      </c>
      <c r="W55" s="325">
        <f t="shared" si="38"/>
        <v>0.28402546226129127</v>
      </c>
      <c r="X55" s="325">
        <f t="shared" si="38"/>
        <v>0.28887594641817121</v>
      </c>
      <c r="Y55" s="500"/>
      <c r="Z55" s="462">
        <f t="shared" ref="Z55:AA55" si="39">Z46/Z5</f>
        <v>0.26504967855055522</v>
      </c>
      <c r="AA55" s="130">
        <f t="shared" si="39"/>
        <v>0.27383237364043506</v>
      </c>
      <c r="AB55" s="130">
        <f t="shared" ref="AB55" si="40">AB46/AB5</f>
        <v>0.28653661656539814</v>
      </c>
      <c r="AC55" s="325">
        <v>0.30461538461538462</v>
      </c>
      <c r="AD55" s="147">
        <f t="shared" ref="AD55:AF55" si="41">AD46/AD5</f>
        <v>0.21697203471552556</v>
      </c>
      <c r="AE55" s="549">
        <f t="shared" si="41"/>
        <v>0.25502645502645505</v>
      </c>
      <c r="AF55" s="552">
        <f t="shared" si="41"/>
        <v>0.23479152426520847</v>
      </c>
      <c r="AG55" s="325">
        <v>0.28143712574850299</v>
      </c>
      <c r="AH55" s="325">
        <v>0.22308845577211395</v>
      </c>
      <c r="AJ55" s="31"/>
      <c r="AK55" s="185">
        <v>0.28808334219198467</v>
      </c>
      <c r="AL55" s="185">
        <f t="shared" ref="AL55:AM55" si="42">AL46/AL5</f>
        <v>7.2209079644023885E-2</v>
      </c>
      <c r="AM55" s="185">
        <f t="shared" si="42"/>
        <v>4.853692522062239E-2</v>
      </c>
      <c r="AN55" s="185">
        <f t="shared" ref="AN55:AO55" si="43">AN46/AN5</f>
        <v>0.23348097261140741</v>
      </c>
      <c r="AO55" s="477">
        <f t="shared" si="43"/>
        <v>0.28754259750094663</v>
      </c>
      <c r="AP55" s="508"/>
      <c r="AQ55" s="487">
        <f t="shared" ref="AQ55:AS55" si="44">AQ46/AQ5</f>
        <v>0.27576077131666166</v>
      </c>
      <c r="AR55" s="487">
        <f t="shared" si="44"/>
        <v>0.27088948787061995</v>
      </c>
      <c r="AS55" s="487">
        <f t="shared" si="44"/>
        <v>0.24834949873665335</v>
      </c>
      <c r="AV55" s="566"/>
      <c r="AW55" s="31"/>
    </row>
    <row r="56" spans="1:49" ht="12.75" customHeight="1" x14ac:dyDescent="0.35">
      <c r="A56" s="107"/>
      <c r="B56" s="132"/>
      <c r="C56" s="328"/>
      <c r="D56" s="180"/>
      <c r="E56" s="150"/>
      <c r="F56" s="132"/>
      <c r="G56" s="328"/>
      <c r="H56" s="328"/>
      <c r="I56" s="150"/>
      <c r="J56" s="132"/>
      <c r="K56" s="328"/>
      <c r="L56" s="328"/>
      <c r="M56" s="150"/>
      <c r="N56" s="132"/>
      <c r="O56" s="328"/>
      <c r="P56" s="328"/>
      <c r="Q56" s="150"/>
      <c r="R56" s="132"/>
      <c r="S56" s="328"/>
      <c r="T56" s="328"/>
      <c r="U56" s="328"/>
      <c r="V56" s="132"/>
      <c r="W56" s="328"/>
      <c r="X56" s="328"/>
      <c r="Y56" s="502"/>
      <c r="Z56" s="463"/>
      <c r="AA56" s="132"/>
      <c r="AB56" s="132"/>
      <c r="AC56" s="328"/>
      <c r="AD56" s="148"/>
      <c r="AE56" s="550"/>
      <c r="AF56" s="553"/>
      <c r="AG56" s="328"/>
      <c r="AH56" s="328"/>
      <c r="AJ56" s="31"/>
      <c r="AK56" s="183"/>
      <c r="AL56" s="183"/>
      <c r="AM56" s="183"/>
      <c r="AN56" s="183"/>
      <c r="AO56" s="476"/>
      <c r="AP56" s="507"/>
      <c r="AQ56" s="486"/>
      <c r="AR56" s="486"/>
      <c r="AS56" s="486"/>
      <c r="AV56" s="566"/>
      <c r="AW56" s="31"/>
    </row>
    <row r="57" spans="1:49" ht="12.75" customHeight="1" x14ac:dyDescent="0.35">
      <c r="A57" s="107" t="s">
        <v>274</v>
      </c>
      <c r="B57" s="130">
        <v>0.27200000000000002</v>
      </c>
      <c r="C57" s="325">
        <v>0.27</v>
      </c>
      <c r="D57" s="178">
        <v>0.3</v>
      </c>
      <c r="E57" s="147">
        <v>0.30420307948397834</v>
      </c>
      <c r="F57" s="130">
        <v>0.26700000000000002</v>
      </c>
      <c r="G57" s="325">
        <f t="shared" ref="G57" si="45">G53/G5</f>
        <v>0.2886783942264321</v>
      </c>
      <c r="H57" s="325">
        <f t="shared" ref="H57:J57" si="46">H53/H5</f>
        <v>0.3033112582781457</v>
      </c>
      <c r="I57" s="147">
        <f t="shared" si="46"/>
        <v>0.29856584093872229</v>
      </c>
      <c r="J57" s="130">
        <f t="shared" si="46"/>
        <v>0.24839188520534389</v>
      </c>
      <c r="K57" s="325">
        <f t="shared" ref="K57:N57" si="47">K53/K5</f>
        <v>0.20693450742982938</v>
      </c>
      <c r="L57" s="325">
        <f t="shared" si="47"/>
        <v>0.25849139832377593</v>
      </c>
      <c r="M57" s="147">
        <f t="shared" si="47"/>
        <v>0.30474670921420022</v>
      </c>
      <c r="N57" s="130">
        <f t="shared" si="47"/>
        <v>0.30853135956369304</v>
      </c>
      <c r="O57" s="325">
        <f t="shared" ref="O57:R57" si="48">O53/O5</f>
        <v>0.31972265023112478</v>
      </c>
      <c r="P57" s="325">
        <f t="shared" si="48"/>
        <v>0.33519748339741351</v>
      </c>
      <c r="Q57" s="147">
        <f t="shared" si="48"/>
        <v>0.34879894702204672</v>
      </c>
      <c r="R57" s="130">
        <f t="shared" si="48"/>
        <v>0.35682397959183676</v>
      </c>
      <c r="S57" s="325">
        <f t="shared" ref="S57:T57" si="49">S53/S5</f>
        <v>0.36020531400966183</v>
      </c>
      <c r="T57" s="325">
        <f t="shared" si="49"/>
        <v>0.36894049346879537</v>
      </c>
      <c r="U57" s="325">
        <f t="shared" ref="U57:X57" si="50">U53/U5</f>
        <v>0.36473429951690822</v>
      </c>
      <c r="V57" s="130">
        <f t="shared" si="50"/>
        <v>0.34764498558154439</v>
      </c>
      <c r="W57" s="325">
        <f t="shared" si="50"/>
        <v>0.3501060927553804</v>
      </c>
      <c r="X57" s="325">
        <f t="shared" si="50"/>
        <v>0.3503203261502621</v>
      </c>
      <c r="Y57" s="500"/>
      <c r="Z57" s="462">
        <f t="shared" ref="Z57:AA57" si="51">Z53/Z5</f>
        <v>0.35622443015780247</v>
      </c>
      <c r="AA57" s="130">
        <f t="shared" si="51"/>
        <v>0.34548944337811899</v>
      </c>
      <c r="AB57" s="130">
        <f t="shared" ref="AB57" si="52">AB53/AB5</f>
        <v>0.34250079948832746</v>
      </c>
      <c r="AC57" s="325">
        <v>0.35476923076923078</v>
      </c>
      <c r="AD57" s="147">
        <f t="shared" ref="AD57:AF57" si="53">AD53/AD5</f>
        <v>0.34233365477338479</v>
      </c>
      <c r="AE57" s="549">
        <f t="shared" si="53"/>
        <v>0.31887125220458556</v>
      </c>
      <c r="AF57" s="552">
        <f t="shared" si="53"/>
        <v>0.31954887218045114</v>
      </c>
      <c r="AG57" s="325">
        <v>0.33753545540497953</v>
      </c>
      <c r="AH57" s="325">
        <v>0.34602698650674663</v>
      </c>
      <c r="AJ57" s="31"/>
      <c r="AK57" s="185">
        <v>0.28691400021260766</v>
      </c>
      <c r="AL57" s="185">
        <f t="shared" ref="AL57:AM57" si="54">AL53/AL5</f>
        <v>0.2898501746085389</v>
      </c>
      <c r="AM57" s="185">
        <f t="shared" si="54"/>
        <v>0.25870877844867629</v>
      </c>
      <c r="AN57" s="185">
        <f t="shared" ref="AN57:AO57" si="55">AN53/AN5</f>
        <v>0.32911506824550302</v>
      </c>
      <c r="AO57" s="477">
        <f t="shared" si="55"/>
        <v>0.3628171147292692</v>
      </c>
      <c r="AP57" s="508"/>
      <c r="AQ57" s="487">
        <f t="shared" ref="AQ57:AS57" si="56">AQ53/AQ5</f>
        <v>0.35115998794817715</v>
      </c>
      <c r="AR57" s="487">
        <f t="shared" si="56"/>
        <v>0.34636118598382748</v>
      </c>
      <c r="AS57" s="487">
        <f t="shared" si="56"/>
        <v>0.33124133996250715</v>
      </c>
      <c r="AV57" s="566"/>
      <c r="AW57" s="31"/>
    </row>
    <row r="58" spans="1:49" ht="12.75" customHeight="1" x14ac:dyDescent="0.35">
      <c r="A58" s="107"/>
      <c r="B58" s="133"/>
      <c r="C58" s="329"/>
      <c r="D58" s="123"/>
      <c r="E58" s="151"/>
      <c r="F58" s="133"/>
      <c r="G58" s="329"/>
      <c r="H58" s="123"/>
      <c r="I58" s="151"/>
      <c r="J58" s="133"/>
      <c r="K58" s="329"/>
      <c r="L58" s="123"/>
      <c r="M58" s="151"/>
      <c r="N58" s="133"/>
      <c r="O58" s="329"/>
      <c r="P58" s="123"/>
      <c r="Q58" s="151"/>
      <c r="R58" s="126"/>
      <c r="S58" s="299"/>
      <c r="T58" s="118"/>
      <c r="U58" s="143"/>
      <c r="V58" s="126"/>
      <c r="W58" s="299"/>
      <c r="X58" s="449"/>
      <c r="Y58" s="497"/>
      <c r="Z58" s="461"/>
      <c r="AA58" s="126"/>
      <c r="AB58" s="299"/>
      <c r="AC58" s="118"/>
      <c r="AD58" s="143"/>
      <c r="AE58" s="126"/>
      <c r="AF58" s="299"/>
      <c r="AG58" s="118"/>
      <c r="AH58" s="143"/>
      <c r="AJ58" s="31"/>
      <c r="AK58" s="182"/>
      <c r="AL58" s="182"/>
      <c r="AM58" s="182"/>
      <c r="AN58" s="182"/>
      <c r="AO58" s="481"/>
      <c r="AP58" s="509"/>
      <c r="AQ58" s="489"/>
      <c r="AR58" s="489"/>
      <c r="AS58" s="489"/>
      <c r="AV58" s="566"/>
      <c r="AW58" s="31"/>
    </row>
    <row r="59" spans="1:49" ht="12.75" customHeight="1" x14ac:dyDescent="0.35">
      <c r="A59" s="107" t="s">
        <v>275</v>
      </c>
      <c r="B59" s="126">
        <v>-68</v>
      </c>
      <c r="C59" s="274">
        <v>-71</v>
      </c>
      <c r="D59" s="118">
        <v>-119</v>
      </c>
      <c r="E59" s="143">
        <v>-77</v>
      </c>
      <c r="F59" s="126">
        <v>-83</v>
      </c>
      <c r="G59" s="274">
        <v>-89</v>
      </c>
      <c r="H59" s="118">
        <v>-85</v>
      </c>
      <c r="I59" s="143">
        <v>-93</v>
      </c>
      <c r="J59" s="126">
        <v>-78</v>
      </c>
      <c r="K59" s="274">
        <v>-96</v>
      </c>
      <c r="L59" s="118">
        <v>-106</v>
      </c>
      <c r="M59" s="143">
        <v>-137</v>
      </c>
      <c r="N59" s="126">
        <v>-87</v>
      </c>
      <c r="O59" s="274">
        <v>-100</v>
      </c>
      <c r="P59" s="118">
        <v>-93</v>
      </c>
      <c r="Q59" s="143">
        <v>-123</v>
      </c>
      <c r="R59" s="126">
        <v>-105</v>
      </c>
      <c r="S59" s="274">
        <v>-128</v>
      </c>
      <c r="T59" s="118">
        <v>-98</v>
      </c>
      <c r="U59" s="143">
        <v>-103</v>
      </c>
      <c r="V59" s="126">
        <v>-82</v>
      </c>
      <c r="W59" s="274">
        <v>-74</v>
      </c>
      <c r="X59" s="449">
        <v>-75</v>
      </c>
      <c r="Y59" s="497"/>
      <c r="Z59" s="466"/>
      <c r="AA59" s="126"/>
      <c r="AB59" s="274"/>
      <c r="AC59" s="118"/>
      <c r="AD59" s="143"/>
      <c r="AE59" s="126"/>
      <c r="AF59" s="274"/>
      <c r="AG59" s="118"/>
      <c r="AH59" s="143"/>
      <c r="AJ59" s="31"/>
      <c r="AK59" s="162">
        <v>-335</v>
      </c>
      <c r="AL59" s="162">
        <v>-350</v>
      </c>
      <c r="AM59" s="162">
        <v>-417</v>
      </c>
      <c r="AN59" s="162">
        <v>-403</v>
      </c>
      <c r="AO59" s="472">
        <v>-434</v>
      </c>
      <c r="AP59" s="497"/>
      <c r="AQ59" s="114"/>
      <c r="AR59" s="114"/>
      <c r="AS59" s="114"/>
      <c r="AV59" s="566"/>
      <c r="AW59" s="31"/>
    </row>
    <row r="60" spans="1:49" ht="12.75" customHeight="1" x14ac:dyDescent="0.35">
      <c r="A60" s="109" t="s">
        <v>3</v>
      </c>
      <c r="B60" s="127">
        <v>0</v>
      </c>
      <c r="C60" s="110">
        <v>0</v>
      </c>
      <c r="D60" s="118">
        <v>0</v>
      </c>
      <c r="E60" s="143"/>
      <c r="F60" s="127">
        <v>0</v>
      </c>
      <c r="G60" s="110">
        <v>0</v>
      </c>
      <c r="H60" s="118">
        <v>0</v>
      </c>
      <c r="I60" s="143">
        <v>0</v>
      </c>
      <c r="J60" s="127">
        <v>0</v>
      </c>
      <c r="K60" s="110">
        <v>0</v>
      </c>
      <c r="L60" s="118">
        <v>0</v>
      </c>
      <c r="M60" s="143">
        <v>0</v>
      </c>
      <c r="N60" s="127">
        <v>0</v>
      </c>
      <c r="O60" s="110">
        <v>0</v>
      </c>
      <c r="P60" s="118">
        <v>0</v>
      </c>
      <c r="Q60" s="143">
        <v>0</v>
      </c>
      <c r="R60" s="127">
        <v>0</v>
      </c>
      <c r="S60" s="110">
        <v>0</v>
      </c>
      <c r="T60" s="118">
        <v>0</v>
      </c>
      <c r="U60" s="143">
        <v>0</v>
      </c>
      <c r="V60" s="127">
        <v>0</v>
      </c>
      <c r="W60" s="110">
        <v>0</v>
      </c>
      <c r="X60" s="449">
        <v>0</v>
      </c>
      <c r="Y60" s="497"/>
      <c r="Z60" s="114"/>
      <c r="AA60" s="127"/>
      <c r="AB60" s="110"/>
      <c r="AC60" s="118"/>
      <c r="AD60" s="143"/>
      <c r="AE60" s="127"/>
      <c r="AF60" s="110"/>
      <c r="AG60" s="118"/>
      <c r="AH60" s="143"/>
      <c r="AJ60" s="31"/>
      <c r="AK60" s="163">
        <v>0</v>
      </c>
      <c r="AL60" s="158">
        <v>0</v>
      </c>
      <c r="AM60" s="158">
        <v>0</v>
      </c>
      <c r="AN60" s="158">
        <v>0</v>
      </c>
      <c r="AO60" s="176">
        <v>0</v>
      </c>
      <c r="AP60" s="510"/>
      <c r="AQ60" s="158"/>
      <c r="AR60" s="158"/>
      <c r="AS60" s="158"/>
      <c r="AV60" s="566"/>
      <c r="AW60" s="31"/>
    </row>
    <row r="61" spans="1:49" ht="12.75" customHeight="1" x14ac:dyDescent="0.35">
      <c r="A61" s="109" t="s">
        <v>276</v>
      </c>
      <c r="B61" s="127">
        <v>-11</v>
      </c>
      <c r="C61" s="258">
        <v>-11</v>
      </c>
      <c r="D61" s="119">
        <v>-11</v>
      </c>
      <c r="E61" s="187">
        <v>-11</v>
      </c>
      <c r="F61" s="127">
        <v>-11</v>
      </c>
      <c r="G61" s="258">
        <v>-11</v>
      </c>
      <c r="H61" s="119">
        <v>-12</v>
      </c>
      <c r="I61" s="187">
        <v>-8</v>
      </c>
      <c r="J61" s="127">
        <v>0</v>
      </c>
      <c r="K61" s="258">
        <v>0</v>
      </c>
      <c r="L61" s="119">
        <v>0</v>
      </c>
      <c r="M61" s="187">
        <v>0</v>
      </c>
      <c r="N61" s="127">
        <v>0</v>
      </c>
      <c r="O61" s="258">
        <v>0</v>
      </c>
      <c r="P61" s="119">
        <v>0</v>
      </c>
      <c r="Q61" s="187">
        <v>0</v>
      </c>
      <c r="R61" s="127">
        <v>0</v>
      </c>
      <c r="S61" s="258">
        <v>0</v>
      </c>
      <c r="T61" s="119">
        <v>0</v>
      </c>
      <c r="U61" s="187">
        <v>0</v>
      </c>
      <c r="V61" s="127">
        <v>0</v>
      </c>
      <c r="W61" s="258">
        <v>0</v>
      </c>
      <c r="X61" s="450">
        <v>0</v>
      </c>
      <c r="Y61" s="498"/>
      <c r="Z61" s="466"/>
      <c r="AA61" s="127"/>
      <c r="AB61" s="258"/>
      <c r="AC61" s="119"/>
      <c r="AD61" s="187"/>
      <c r="AE61" s="127"/>
      <c r="AF61" s="258"/>
      <c r="AG61" s="119"/>
      <c r="AH61" s="187"/>
      <c r="AJ61" s="31"/>
      <c r="AK61" s="163">
        <v>-44</v>
      </c>
      <c r="AL61" s="188">
        <v>-42</v>
      </c>
      <c r="AM61" s="188">
        <v>0</v>
      </c>
      <c r="AN61" s="188">
        <v>0</v>
      </c>
      <c r="AO61" s="304">
        <v>0</v>
      </c>
      <c r="AP61" s="511"/>
      <c r="AQ61" s="188"/>
      <c r="AR61" s="188"/>
      <c r="AS61" s="188"/>
      <c r="AV61" s="566"/>
      <c r="AW61" s="31"/>
    </row>
    <row r="62" spans="1:49" ht="12.75" customHeight="1" x14ac:dyDescent="0.35">
      <c r="A62" s="109" t="s">
        <v>277</v>
      </c>
      <c r="B62" s="127">
        <v>-3</v>
      </c>
      <c r="C62" s="110">
        <v>0</v>
      </c>
      <c r="D62" s="119">
        <v>-3</v>
      </c>
      <c r="E62" s="144">
        <v>-5</v>
      </c>
      <c r="F62" s="127">
        <v>-7</v>
      </c>
      <c r="G62" s="110">
        <v>-4</v>
      </c>
      <c r="H62" s="119">
        <v>-2</v>
      </c>
      <c r="I62" s="144">
        <v>-4</v>
      </c>
      <c r="J62" s="127">
        <v>-1</v>
      </c>
      <c r="K62" s="110">
        <v>-2</v>
      </c>
      <c r="L62" s="119">
        <v>-3</v>
      </c>
      <c r="M62" s="144">
        <v>-6</v>
      </c>
      <c r="N62" s="127">
        <v>0</v>
      </c>
      <c r="O62" s="110">
        <v>-1</v>
      </c>
      <c r="P62" s="119">
        <v>1</v>
      </c>
      <c r="Q62" s="144">
        <v>-1</v>
      </c>
      <c r="R62" s="127">
        <v>-1</v>
      </c>
      <c r="S62" s="110">
        <v>-2</v>
      </c>
      <c r="T62" s="119">
        <v>-2</v>
      </c>
      <c r="U62" s="144">
        <v>-8</v>
      </c>
      <c r="V62" s="127">
        <v>-3</v>
      </c>
      <c r="W62" s="110">
        <v>-3</v>
      </c>
      <c r="X62" s="450">
        <v>-3</v>
      </c>
      <c r="Y62" s="498"/>
      <c r="Z62" s="115"/>
      <c r="AA62" s="127"/>
      <c r="AB62" s="110"/>
      <c r="AC62" s="119"/>
      <c r="AD62" s="144"/>
      <c r="AE62" s="127"/>
      <c r="AF62" s="110"/>
      <c r="AG62" s="119"/>
      <c r="AH62" s="144"/>
      <c r="AJ62" s="31"/>
      <c r="AK62" s="163">
        <v>-11</v>
      </c>
      <c r="AL62" s="163">
        <v>-17</v>
      </c>
      <c r="AM62" s="163">
        <v>-12</v>
      </c>
      <c r="AN62" s="163">
        <v>-1</v>
      </c>
      <c r="AO62" s="474">
        <v>-13</v>
      </c>
      <c r="AP62" s="498"/>
      <c r="AQ62" s="115"/>
      <c r="AR62" s="115"/>
      <c r="AS62" s="115"/>
      <c r="AV62" s="566"/>
      <c r="AW62" s="31"/>
    </row>
    <row r="63" spans="1:49" ht="12.75" customHeight="1" x14ac:dyDescent="0.35">
      <c r="A63" s="109" t="s">
        <v>21</v>
      </c>
      <c r="B63" s="127">
        <v>0</v>
      </c>
      <c r="C63" s="176">
        <v>-26</v>
      </c>
      <c r="D63" s="119">
        <v>0</v>
      </c>
      <c r="E63" s="144">
        <v>0</v>
      </c>
      <c r="F63" s="127">
        <v>0</v>
      </c>
      <c r="G63" s="176">
        <v>-10</v>
      </c>
      <c r="H63" s="119">
        <v>-1</v>
      </c>
      <c r="I63" s="144">
        <v>0</v>
      </c>
      <c r="J63" s="127">
        <v>0</v>
      </c>
      <c r="K63" s="176">
        <v>0</v>
      </c>
      <c r="L63" s="119">
        <v>0</v>
      </c>
      <c r="M63" s="144">
        <v>-60</v>
      </c>
      <c r="N63" s="127">
        <v>0</v>
      </c>
      <c r="O63" s="176">
        <v>0</v>
      </c>
      <c r="P63" s="119">
        <v>0</v>
      </c>
      <c r="Q63" s="144">
        <v>-22</v>
      </c>
      <c r="R63" s="127">
        <v>0</v>
      </c>
      <c r="S63" s="176">
        <v>-18</v>
      </c>
      <c r="T63" s="119">
        <v>0</v>
      </c>
      <c r="U63" s="144">
        <v>0</v>
      </c>
      <c r="V63" s="127">
        <v>0</v>
      </c>
      <c r="W63" s="176">
        <v>0</v>
      </c>
      <c r="X63" s="450">
        <v>0</v>
      </c>
      <c r="Y63" s="498"/>
      <c r="Z63" s="115"/>
      <c r="AA63" s="127"/>
      <c r="AB63" s="176"/>
      <c r="AC63" s="119"/>
      <c r="AD63" s="144"/>
      <c r="AE63" s="127"/>
      <c r="AF63" s="176"/>
      <c r="AG63" s="119"/>
      <c r="AH63" s="144"/>
      <c r="AJ63" s="31"/>
      <c r="AK63" s="163">
        <v>-26</v>
      </c>
      <c r="AL63" s="163">
        <v>-11</v>
      </c>
      <c r="AM63" s="163">
        <v>-60</v>
      </c>
      <c r="AN63" s="163">
        <v>-22</v>
      </c>
      <c r="AO63" s="474">
        <v>-18</v>
      </c>
      <c r="AP63" s="498"/>
      <c r="AQ63" s="115"/>
      <c r="AR63" s="115"/>
      <c r="AS63" s="115"/>
      <c r="AV63" s="566"/>
      <c r="AW63" s="31"/>
    </row>
    <row r="64" spans="1:49" ht="12.75" customHeight="1" x14ac:dyDescent="0.35">
      <c r="A64" s="109" t="s">
        <v>278</v>
      </c>
      <c r="B64" s="127">
        <v>0</v>
      </c>
      <c r="C64" s="258">
        <v>0</v>
      </c>
      <c r="D64" s="119">
        <v>0</v>
      </c>
      <c r="E64" s="144">
        <v>0</v>
      </c>
      <c r="F64" s="127">
        <v>0</v>
      </c>
      <c r="G64" s="258">
        <v>0</v>
      </c>
      <c r="H64" s="119">
        <v>0</v>
      </c>
      <c r="I64" s="144">
        <v>0</v>
      </c>
      <c r="J64" s="127">
        <v>0</v>
      </c>
      <c r="K64" s="258">
        <v>0</v>
      </c>
      <c r="L64" s="119">
        <v>0</v>
      </c>
      <c r="M64" s="144">
        <v>0</v>
      </c>
      <c r="N64" s="127">
        <v>0</v>
      </c>
      <c r="O64" s="258">
        <v>0</v>
      </c>
      <c r="P64" s="119">
        <v>0</v>
      </c>
      <c r="Q64" s="144">
        <v>0</v>
      </c>
      <c r="R64" s="127">
        <v>0</v>
      </c>
      <c r="S64" s="258">
        <v>0</v>
      </c>
      <c r="T64" s="119">
        <v>0</v>
      </c>
      <c r="U64" s="144">
        <v>0</v>
      </c>
      <c r="V64" s="127">
        <v>0</v>
      </c>
      <c r="W64" s="258">
        <v>0</v>
      </c>
      <c r="X64" s="450">
        <v>0</v>
      </c>
      <c r="Y64" s="498"/>
      <c r="Z64" s="115"/>
      <c r="AA64" s="127"/>
      <c r="AB64" s="258"/>
      <c r="AC64" s="119"/>
      <c r="AD64" s="144"/>
      <c r="AE64" s="127"/>
      <c r="AF64" s="258"/>
      <c r="AG64" s="119"/>
      <c r="AH64" s="144"/>
      <c r="AJ64" s="31"/>
      <c r="AK64" s="163">
        <v>0</v>
      </c>
      <c r="AL64" s="158">
        <v>0</v>
      </c>
      <c r="AM64" s="158">
        <v>0</v>
      </c>
      <c r="AN64" s="158">
        <v>0</v>
      </c>
      <c r="AO64" s="176">
        <v>0</v>
      </c>
      <c r="AP64" s="510"/>
      <c r="AQ64" s="158"/>
      <c r="AR64" s="158"/>
      <c r="AS64" s="158"/>
      <c r="AV64" s="566"/>
      <c r="AW64" s="31"/>
    </row>
    <row r="65" spans="1:49" ht="12.75" customHeight="1" x14ac:dyDescent="0.35">
      <c r="A65" s="109" t="s">
        <v>279</v>
      </c>
      <c r="B65" s="127">
        <v>-3</v>
      </c>
      <c r="C65" s="110">
        <v>-3</v>
      </c>
      <c r="D65" s="119">
        <v>-71</v>
      </c>
      <c r="E65" s="144">
        <v>-1</v>
      </c>
      <c r="F65" s="127">
        <v>-4</v>
      </c>
      <c r="G65" s="110">
        <v>-3</v>
      </c>
      <c r="H65" s="119">
        <v>-4</v>
      </c>
      <c r="I65" s="144">
        <v>-4</v>
      </c>
      <c r="J65" s="127">
        <v>-2</v>
      </c>
      <c r="K65" s="110">
        <v>-2</v>
      </c>
      <c r="L65" s="119">
        <v>-3</v>
      </c>
      <c r="M65" s="144">
        <v>19</v>
      </c>
      <c r="N65" s="127">
        <v>0</v>
      </c>
      <c r="O65" s="110">
        <v>-8</v>
      </c>
      <c r="P65" s="119">
        <v>0</v>
      </c>
      <c r="Q65" s="144">
        <v>-7</v>
      </c>
      <c r="R65" s="127">
        <v>-1</v>
      </c>
      <c r="S65" s="110">
        <v>-11</v>
      </c>
      <c r="T65" s="119">
        <v>-5</v>
      </c>
      <c r="U65" s="144">
        <v>0</v>
      </c>
      <c r="V65" s="127">
        <v>-3</v>
      </c>
      <c r="W65" s="110">
        <v>2</v>
      </c>
      <c r="X65" s="450">
        <v>-7</v>
      </c>
      <c r="Y65" s="498"/>
      <c r="Z65" s="115"/>
      <c r="AA65" s="127"/>
      <c r="AB65" s="110"/>
      <c r="AC65" s="119"/>
      <c r="AD65" s="144"/>
      <c r="AE65" s="127"/>
      <c r="AF65" s="110"/>
      <c r="AG65" s="119"/>
      <c r="AH65" s="144"/>
      <c r="AJ65" s="31"/>
      <c r="AK65" s="186">
        <v>-78</v>
      </c>
      <c r="AL65" s="186">
        <v>-15</v>
      </c>
      <c r="AM65" s="186">
        <v>12</v>
      </c>
      <c r="AN65" s="186">
        <v>-15</v>
      </c>
      <c r="AO65" s="479">
        <v>-17</v>
      </c>
      <c r="AP65" s="498"/>
      <c r="AQ65" s="465"/>
      <c r="AR65" s="465"/>
      <c r="AS65" s="465"/>
      <c r="AV65" s="566"/>
      <c r="AW65" s="31"/>
    </row>
    <row r="66" spans="1:49" ht="12.75" customHeight="1" thickBot="1" x14ac:dyDescent="0.4">
      <c r="A66" s="107" t="s">
        <v>280</v>
      </c>
      <c r="B66" s="128">
        <v>-51</v>
      </c>
      <c r="C66" s="259">
        <v>-31</v>
      </c>
      <c r="D66" s="120">
        <v>-34</v>
      </c>
      <c r="E66" s="145">
        <v>-60</v>
      </c>
      <c r="F66" s="128">
        <v>-61</v>
      </c>
      <c r="G66" s="259">
        <v>-61</v>
      </c>
      <c r="H66" s="120">
        <v>-66</v>
      </c>
      <c r="I66" s="145">
        <v>-77</v>
      </c>
      <c r="J66" s="128">
        <v>-75</v>
      </c>
      <c r="K66" s="259">
        <v>-92</v>
      </c>
      <c r="L66" s="120">
        <v>-100</v>
      </c>
      <c r="M66" s="145">
        <v>-90</v>
      </c>
      <c r="N66" s="128">
        <v>-87</v>
      </c>
      <c r="O66" s="259">
        <v>-91</v>
      </c>
      <c r="P66" s="120">
        <v>-94</v>
      </c>
      <c r="Q66" s="145">
        <v>-93</v>
      </c>
      <c r="R66" s="128">
        <v>-103</v>
      </c>
      <c r="S66" s="259">
        <v>-97</v>
      </c>
      <c r="T66" s="120">
        <v>-91</v>
      </c>
      <c r="U66" s="145">
        <v>-95</v>
      </c>
      <c r="V66" s="128">
        <v>-76</v>
      </c>
      <c r="W66" s="259">
        <v>-73</v>
      </c>
      <c r="X66" s="259">
        <v>-65</v>
      </c>
      <c r="Y66" s="497"/>
      <c r="Z66" s="116"/>
      <c r="AA66" s="128"/>
      <c r="AB66" s="259"/>
      <c r="AC66" s="120"/>
      <c r="AD66" s="145"/>
      <c r="AE66" s="128"/>
      <c r="AF66" s="259"/>
      <c r="AG66" s="120"/>
      <c r="AH66" s="145"/>
      <c r="AJ66" s="31"/>
      <c r="AK66" s="322">
        <v>-176</v>
      </c>
      <c r="AL66" s="322">
        <v>-265</v>
      </c>
      <c r="AM66" s="322">
        <v>-357</v>
      </c>
      <c r="AN66" s="322">
        <v>-365</v>
      </c>
      <c r="AO66" s="480">
        <v>-386</v>
      </c>
      <c r="AP66" s="497"/>
      <c r="AQ66" s="488"/>
      <c r="AR66" s="488"/>
      <c r="AS66" s="488"/>
      <c r="AV66" s="566"/>
      <c r="AW66" s="31"/>
    </row>
    <row r="67" spans="1:49" ht="12.75" customHeight="1" thickTop="1" x14ac:dyDescent="0.35">
      <c r="A67" s="108"/>
      <c r="B67" s="260"/>
      <c r="C67" s="261"/>
      <c r="D67" s="124"/>
      <c r="E67" s="152"/>
      <c r="F67" s="260"/>
      <c r="G67" s="261"/>
      <c r="H67" s="124"/>
      <c r="I67" s="152"/>
      <c r="J67" s="260"/>
      <c r="K67" s="261"/>
      <c r="L67" s="124"/>
      <c r="M67" s="152"/>
      <c r="N67" s="260"/>
      <c r="O67" s="261"/>
      <c r="P67" s="124"/>
      <c r="Q67" s="152"/>
      <c r="R67" s="260"/>
      <c r="S67" s="261"/>
      <c r="T67" s="124"/>
      <c r="U67" s="152"/>
      <c r="V67" s="260"/>
      <c r="W67" s="261"/>
      <c r="X67" s="452"/>
      <c r="Y67" s="503"/>
      <c r="Z67" s="467"/>
      <c r="AA67" s="260"/>
      <c r="AB67" s="261"/>
      <c r="AC67" s="540"/>
      <c r="AD67" s="541"/>
      <c r="AE67" s="260"/>
      <c r="AF67" s="261"/>
      <c r="AG67" s="124"/>
      <c r="AH67" s="152"/>
      <c r="AJ67" s="31"/>
      <c r="AK67" s="183"/>
      <c r="AL67" s="183"/>
      <c r="AM67" s="183"/>
      <c r="AN67" s="183"/>
      <c r="AO67" s="476"/>
      <c r="AP67" s="273"/>
      <c r="AQ67" s="486"/>
      <c r="AR67" s="486"/>
      <c r="AS67" s="486"/>
      <c r="AV67" s="566"/>
      <c r="AW67" s="31"/>
    </row>
    <row r="68" spans="1:49" ht="12.75" customHeight="1" x14ac:dyDescent="0.35">
      <c r="A68" s="107" t="s">
        <v>281</v>
      </c>
      <c r="B68" s="126"/>
      <c r="C68" s="299"/>
      <c r="D68" s="118"/>
      <c r="E68" s="143"/>
      <c r="F68" s="126"/>
      <c r="G68" s="299"/>
      <c r="H68" s="118"/>
      <c r="I68" s="143"/>
      <c r="J68" s="126"/>
      <c r="K68" s="299"/>
      <c r="L68" s="118"/>
      <c r="M68" s="143"/>
      <c r="N68" s="126"/>
      <c r="O68" s="299"/>
      <c r="P68" s="118"/>
      <c r="Q68" s="143"/>
      <c r="R68" s="126"/>
      <c r="S68" s="299"/>
      <c r="T68" s="118"/>
      <c r="U68" s="143"/>
      <c r="V68" s="126">
        <v>-118</v>
      </c>
      <c r="W68" s="299">
        <v>-158</v>
      </c>
      <c r="X68" s="449">
        <v>-123</v>
      </c>
      <c r="Y68" s="497"/>
      <c r="Z68" s="114">
        <v>-124</v>
      </c>
      <c r="AA68" s="126">
        <v>-141</v>
      </c>
      <c r="AB68" s="299">
        <v>-154</v>
      </c>
      <c r="AC68" s="118">
        <v>-173</v>
      </c>
      <c r="AD68" s="143">
        <v>-77</v>
      </c>
      <c r="AE68" s="126">
        <v>-130</v>
      </c>
      <c r="AF68" s="299">
        <v>-116</v>
      </c>
      <c r="AG68" s="118">
        <v>-148</v>
      </c>
      <c r="AH68" s="143">
        <v>-131</v>
      </c>
      <c r="AJ68" s="31"/>
      <c r="AK68" s="182"/>
      <c r="AL68" s="182"/>
      <c r="AM68" s="182"/>
      <c r="AN68" s="182"/>
      <c r="AO68" s="481"/>
      <c r="AP68" s="518"/>
      <c r="AQ68" s="489">
        <v>-523</v>
      </c>
      <c r="AR68" s="489">
        <v>-545</v>
      </c>
      <c r="AS68" s="489">
        <f t="shared" ref="AS68:AS70" si="57">SUM(AE68:AH68)</f>
        <v>-525</v>
      </c>
      <c r="AV68" s="566"/>
      <c r="AW68" s="31"/>
    </row>
    <row r="69" spans="1:49" ht="12.75" customHeight="1" x14ac:dyDescent="0.35">
      <c r="A69" s="390" t="s">
        <v>282</v>
      </c>
      <c r="B69" s="127"/>
      <c r="C69" s="265"/>
      <c r="D69" s="119"/>
      <c r="E69" s="144"/>
      <c r="F69" s="127"/>
      <c r="G69" s="265"/>
      <c r="H69" s="119"/>
      <c r="I69" s="144"/>
      <c r="J69" s="127"/>
      <c r="K69" s="265"/>
      <c r="L69" s="119"/>
      <c r="M69" s="144"/>
      <c r="N69" s="127"/>
      <c r="O69" s="265"/>
      <c r="P69" s="119"/>
      <c r="Q69" s="144"/>
      <c r="R69" s="127"/>
      <c r="S69" s="265"/>
      <c r="T69" s="119"/>
      <c r="U69" s="144"/>
      <c r="V69" s="127">
        <v>49</v>
      </c>
      <c r="W69" s="265">
        <v>22</v>
      </c>
      <c r="X69" s="450">
        <v>45</v>
      </c>
      <c r="Y69" s="498"/>
      <c r="Z69" s="115">
        <v>54</v>
      </c>
      <c r="AA69" s="127">
        <v>30</v>
      </c>
      <c r="AB69" s="265">
        <v>15</v>
      </c>
      <c r="AC69" s="119">
        <v>9</v>
      </c>
      <c r="AD69" s="144">
        <v>87</v>
      </c>
      <c r="AE69" s="127">
        <v>13</v>
      </c>
      <c r="AF69" s="265">
        <v>32</v>
      </c>
      <c r="AG69" s="119">
        <v>25</v>
      </c>
      <c r="AH69" s="144">
        <v>59</v>
      </c>
      <c r="AJ69" s="31"/>
      <c r="AK69" s="184"/>
      <c r="AL69" s="184"/>
      <c r="AM69" s="184"/>
      <c r="AN69" s="184"/>
      <c r="AO69" s="482"/>
      <c r="AP69" s="273"/>
      <c r="AQ69" s="490">
        <v>170</v>
      </c>
      <c r="AR69" s="490">
        <v>141</v>
      </c>
      <c r="AS69" s="490">
        <f t="shared" si="57"/>
        <v>129</v>
      </c>
      <c r="AV69" s="566"/>
      <c r="AW69" s="31"/>
    </row>
    <row r="70" spans="1:49" ht="12.75" customHeight="1" thickBot="1" x14ac:dyDescent="0.4">
      <c r="A70" s="107" t="s">
        <v>283</v>
      </c>
      <c r="B70" s="128"/>
      <c r="C70" s="300"/>
      <c r="D70" s="120"/>
      <c r="E70" s="145"/>
      <c r="F70" s="128"/>
      <c r="G70" s="300"/>
      <c r="H70" s="120"/>
      <c r="I70" s="145"/>
      <c r="J70" s="128"/>
      <c r="K70" s="300"/>
      <c r="L70" s="120"/>
      <c r="M70" s="145"/>
      <c r="N70" s="128"/>
      <c r="O70" s="300"/>
      <c r="P70" s="120"/>
      <c r="Q70" s="145"/>
      <c r="R70" s="128"/>
      <c r="S70" s="300"/>
      <c r="T70" s="120"/>
      <c r="U70" s="145"/>
      <c r="V70" s="128">
        <v>-167</v>
      </c>
      <c r="W70" s="300">
        <v>-180</v>
      </c>
      <c r="X70" s="259">
        <v>-168</v>
      </c>
      <c r="Y70" s="497"/>
      <c r="Z70" s="116">
        <v>-178</v>
      </c>
      <c r="AA70" s="128">
        <v>-171</v>
      </c>
      <c r="AB70" s="300">
        <v>-169</v>
      </c>
      <c r="AC70" s="120">
        <v>-182</v>
      </c>
      <c r="AD70" s="145">
        <v>-164</v>
      </c>
      <c r="AE70" s="128">
        <v>-143</v>
      </c>
      <c r="AF70" s="300">
        <v>-148</v>
      </c>
      <c r="AG70" s="120">
        <v>-173</v>
      </c>
      <c r="AH70" s="145">
        <v>-190</v>
      </c>
      <c r="AJ70" s="31"/>
      <c r="AK70" s="516"/>
      <c r="AL70" s="516"/>
      <c r="AM70" s="516"/>
      <c r="AN70" s="516"/>
      <c r="AO70" s="517"/>
      <c r="AP70" s="518"/>
      <c r="AQ70" s="515">
        <v>-693</v>
      </c>
      <c r="AR70" s="515">
        <v>-686</v>
      </c>
      <c r="AS70" s="515">
        <f t="shared" si="57"/>
        <v>-654</v>
      </c>
      <c r="AV70" s="566"/>
      <c r="AW70" s="31"/>
    </row>
    <row r="71" spans="1:49" ht="12.75" customHeight="1" thickTop="1" x14ac:dyDescent="0.35">
      <c r="A71" s="107"/>
      <c r="B71" s="126"/>
      <c r="C71" s="299"/>
      <c r="D71" s="118"/>
      <c r="E71" s="143"/>
      <c r="F71" s="126"/>
      <c r="G71" s="299"/>
      <c r="H71" s="118"/>
      <c r="I71" s="143"/>
      <c r="J71" s="126"/>
      <c r="K71" s="299"/>
      <c r="L71" s="118"/>
      <c r="M71" s="143"/>
      <c r="N71" s="126"/>
      <c r="O71" s="299"/>
      <c r="P71" s="118"/>
      <c r="Q71" s="143"/>
      <c r="R71" s="126"/>
      <c r="S71" s="299"/>
      <c r="T71" s="118"/>
      <c r="U71" s="143"/>
      <c r="V71" s="126"/>
      <c r="W71" s="299"/>
      <c r="X71" s="449"/>
      <c r="Y71" s="497"/>
      <c r="Z71" s="114"/>
      <c r="AA71" s="126"/>
      <c r="AB71" s="299"/>
      <c r="AC71" s="118"/>
      <c r="AD71" s="143"/>
      <c r="AE71" s="126"/>
      <c r="AF71" s="299"/>
      <c r="AG71" s="118"/>
      <c r="AH71" s="143"/>
      <c r="AJ71" s="31"/>
      <c r="AK71" s="183"/>
      <c r="AL71" s="183"/>
      <c r="AM71" s="183"/>
      <c r="AN71" s="183"/>
      <c r="AO71" s="476"/>
      <c r="AP71" s="273"/>
      <c r="AQ71" s="486"/>
      <c r="AR71" s="486"/>
      <c r="AS71" s="486"/>
      <c r="AV71" s="566"/>
      <c r="AW71" s="31"/>
    </row>
    <row r="72" spans="1:49" ht="24" customHeight="1" x14ac:dyDescent="0.35">
      <c r="A72" s="107" t="s">
        <v>284</v>
      </c>
      <c r="B72" s="126"/>
      <c r="C72" s="299"/>
      <c r="D72" s="118"/>
      <c r="E72" s="143"/>
      <c r="F72" s="126"/>
      <c r="G72" s="299"/>
      <c r="H72" s="118"/>
      <c r="I72" s="143"/>
      <c r="J72" s="126"/>
      <c r="K72" s="299"/>
      <c r="L72" s="118"/>
      <c r="M72" s="143"/>
      <c r="N72" s="126"/>
      <c r="O72" s="299"/>
      <c r="P72" s="118"/>
      <c r="Q72" s="143"/>
      <c r="R72" s="126"/>
      <c r="S72" s="299"/>
      <c r="T72" s="118"/>
      <c r="U72" s="143"/>
      <c r="V72" s="126">
        <v>-2</v>
      </c>
      <c r="W72" s="299">
        <v>-1</v>
      </c>
      <c r="X72" s="449">
        <v>-2</v>
      </c>
      <c r="Y72" s="497"/>
      <c r="Z72" s="114"/>
      <c r="AA72" s="126"/>
      <c r="AB72" s="299"/>
      <c r="AC72" s="118"/>
      <c r="AD72" s="143"/>
      <c r="AE72" s="126"/>
      <c r="AF72" s="299"/>
      <c r="AG72" s="118"/>
      <c r="AH72" s="143"/>
      <c r="AJ72" s="31"/>
      <c r="AK72" s="182"/>
      <c r="AL72" s="182"/>
      <c r="AM72" s="182"/>
      <c r="AN72" s="182"/>
      <c r="AO72" s="481"/>
      <c r="AP72" s="518"/>
      <c r="AQ72" s="489"/>
      <c r="AR72" s="489"/>
      <c r="AS72" s="489"/>
      <c r="AV72" s="566"/>
      <c r="AW72" s="31"/>
    </row>
    <row r="73" spans="1:49" ht="12.75" customHeight="1" x14ac:dyDescent="0.35">
      <c r="A73" s="390" t="s">
        <v>259</v>
      </c>
      <c r="B73" s="140"/>
      <c r="C73" s="265"/>
      <c r="D73" s="139"/>
      <c r="E73" s="153"/>
      <c r="F73" s="140"/>
      <c r="G73" s="265"/>
      <c r="H73" s="139"/>
      <c r="I73" s="153"/>
      <c r="J73" s="140"/>
      <c r="K73" s="265"/>
      <c r="L73" s="139"/>
      <c r="M73" s="153"/>
      <c r="N73" s="140"/>
      <c r="O73" s="265"/>
      <c r="P73" s="139"/>
      <c r="Q73" s="153"/>
      <c r="R73" s="140"/>
      <c r="S73" s="265"/>
      <c r="T73" s="139"/>
      <c r="U73" s="153"/>
      <c r="V73" s="140">
        <v>-2</v>
      </c>
      <c r="W73" s="265">
        <v>-1</v>
      </c>
      <c r="X73" s="451">
        <v>-2</v>
      </c>
      <c r="Y73" s="498"/>
      <c r="Z73" s="465"/>
      <c r="AA73" s="140"/>
      <c r="AB73" s="265"/>
      <c r="AC73" s="139"/>
      <c r="AD73" s="153"/>
      <c r="AE73" s="140"/>
      <c r="AF73" s="265"/>
      <c r="AG73" s="139"/>
      <c r="AH73" s="153"/>
      <c r="AJ73" s="31"/>
      <c r="AK73" s="184"/>
      <c r="AL73" s="184"/>
      <c r="AM73" s="184"/>
      <c r="AN73" s="184"/>
      <c r="AO73" s="482"/>
      <c r="AP73" s="273"/>
      <c r="AQ73" s="490"/>
      <c r="AR73" s="490"/>
      <c r="AS73" s="490"/>
      <c r="AV73" s="566"/>
      <c r="AW73" s="31"/>
    </row>
    <row r="74" spans="1:49" ht="24" customHeight="1" thickBot="1" x14ac:dyDescent="0.4">
      <c r="A74" s="107" t="s">
        <v>28</v>
      </c>
      <c r="B74" s="128"/>
      <c r="C74" s="301"/>
      <c r="D74" s="120"/>
      <c r="E74" s="145"/>
      <c r="F74" s="128"/>
      <c r="G74" s="301"/>
      <c r="H74" s="120"/>
      <c r="I74" s="145"/>
      <c r="J74" s="128"/>
      <c r="K74" s="301"/>
      <c r="L74" s="120"/>
      <c r="M74" s="145"/>
      <c r="N74" s="128"/>
      <c r="O74" s="301"/>
      <c r="P74" s="120"/>
      <c r="Q74" s="145"/>
      <c r="R74" s="128"/>
      <c r="S74" s="301"/>
      <c r="T74" s="120"/>
      <c r="U74" s="145"/>
      <c r="V74" s="128">
        <v>0</v>
      </c>
      <c r="W74" s="301">
        <v>0</v>
      </c>
      <c r="X74" s="259">
        <v>0</v>
      </c>
      <c r="Y74" s="497"/>
      <c r="Z74" s="116"/>
      <c r="AA74" s="128"/>
      <c r="AB74" s="301"/>
      <c r="AC74" s="120"/>
      <c r="AD74" s="145"/>
      <c r="AE74" s="128"/>
      <c r="AF74" s="301"/>
      <c r="AG74" s="120"/>
      <c r="AH74" s="145"/>
      <c r="AJ74" s="31"/>
      <c r="AK74" s="116"/>
      <c r="AL74" s="116"/>
      <c r="AM74" s="116"/>
      <c r="AN74" s="116"/>
      <c r="AO74" s="483"/>
      <c r="AP74" s="274"/>
      <c r="AQ74" s="116"/>
      <c r="AR74" s="116"/>
      <c r="AS74" s="116"/>
      <c r="AV74" s="566"/>
      <c r="AW74" s="31"/>
    </row>
    <row r="75" spans="1:49" ht="12.75" customHeight="1" thickTop="1" x14ac:dyDescent="0.35">
      <c r="A75" s="108"/>
      <c r="B75" s="260"/>
      <c r="C75" s="302"/>
      <c r="D75" s="124"/>
      <c r="E75" s="152"/>
      <c r="F75" s="260"/>
      <c r="G75" s="302"/>
      <c r="H75" s="124"/>
      <c r="I75" s="152"/>
      <c r="J75" s="339"/>
      <c r="K75" s="340"/>
      <c r="L75" s="124"/>
      <c r="M75" s="152"/>
      <c r="N75" s="339"/>
      <c r="O75" s="340"/>
      <c r="P75" s="124"/>
      <c r="Q75" s="152"/>
      <c r="R75" s="339"/>
      <c r="S75" s="340"/>
      <c r="T75" s="124"/>
      <c r="U75" s="152"/>
      <c r="V75" s="339"/>
      <c r="W75" s="340"/>
      <c r="X75" s="452"/>
      <c r="Y75" s="503"/>
      <c r="Z75" s="467"/>
      <c r="AA75" s="339"/>
      <c r="AB75" s="340"/>
      <c r="AC75" s="540"/>
      <c r="AD75" s="541"/>
      <c r="AE75" s="339"/>
      <c r="AF75" s="340"/>
      <c r="AG75" s="124"/>
      <c r="AH75" s="152"/>
      <c r="AJ75" s="31"/>
      <c r="AK75" s="183"/>
      <c r="AL75" s="183"/>
      <c r="AM75" s="183"/>
      <c r="AN75" s="183"/>
      <c r="AO75" s="476"/>
      <c r="AP75" s="273"/>
      <c r="AQ75" s="486"/>
      <c r="AR75" s="486"/>
      <c r="AS75" s="486"/>
      <c r="AV75" s="566"/>
      <c r="AW75" s="31"/>
    </row>
    <row r="76" spans="1:49" ht="27" customHeight="1" x14ac:dyDescent="0.35">
      <c r="A76" s="107" t="s">
        <v>285</v>
      </c>
      <c r="B76" s="126"/>
      <c r="C76" s="299"/>
      <c r="D76" s="118"/>
      <c r="E76" s="143"/>
      <c r="F76" s="126"/>
      <c r="G76" s="299"/>
      <c r="H76" s="299"/>
      <c r="I76" s="143"/>
      <c r="J76" s="126"/>
      <c r="K76" s="299"/>
      <c r="L76" s="118"/>
      <c r="M76" s="143"/>
      <c r="N76" s="126"/>
      <c r="O76" s="299"/>
      <c r="P76" s="118"/>
      <c r="Q76" s="143"/>
      <c r="R76" s="126"/>
      <c r="S76" s="299"/>
      <c r="T76" s="118"/>
      <c r="U76" s="143"/>
      <c r="V76" s="126">
        <v>623</v>
      </c>
      <c r="W76" s="299">
        <v>704</v>
      </c>
      <c r="X76" s="449">
        <v>792</v>
      </c>
      <c r="Y76" s="497"/>
      <c r="Z76" s="114"/>
      <c r="AA76" s="126"/>
      <c r="AB76" s="299"/>
      <c r="AC76" s="118"/>
      <c r="AD76" s="143"/>
      <c r="AE76" s="126"/>
      <c r="AF76" s="299"/>
      <c r="AG76" s="118"/>
      <c r="AH76" s="143"/>
      <c r="AJ76" s="31"/>
      <c r="AK76" s="182"/>
      <c r="AL76" s="182"/>
      <c r="AM76" s="182"/>
      <c r="AN76" s="182"/>
      <c r="AO76" s="481"/>
      <c r="AP76" s="518"/>
      <c r="AQ76" s="489"/>
      <c r="AR76" s="489"/>
      <c r="AS76" s="489"/>
      <c r="AV76" s="566"/>
      <c r="AW76" s="31"/>
    </row>
    <row r="77" spans="1:49" ht="12.75" customHeight="1" x14ac:dyDescent="0.35">
      <c r="A77" s="109" t="s">
        <v>3</v>
      </c>
      <c r="B77" s="127"/>
      <c r="C77" s="265"/>
      <c r="D77" s="119"/>
      <c r="E77" s="144"/>
      <c r="F77" s="127"/>
      <c r="G77" s="265"/>
      <c r="H77" s="265"/>
      <c r="I77" s="144"/>
      <c r="J77" s="127"/>
      <c r="K77" s="265"/>
      <c r="L77" s="119"/>
      <c r="M77" s="144"/>
      <c r="N77" s="127"/>
      <c r="O77" s="265"/>
      <c r="P77" s="119"/>
      <c r="Q77" s="144"/>
      <c r="R77" s="127"/>
      <c r="S77" s="265"/>
      <c r="T77" s="119"/>
      <c r="U77" s="144"/>
      <c r="V77" s="127">
        <v>-99</v>
      </c>
      <c r="W77" s="265">
        <v>-95</v>
      </c>
      <c r="X77" s="450">
        <v>-85</v>
      </c>
      <c r="Y77" s="498"/>
      <c r="Z77" s="115"/>
      <c r="AA77" s="127"/>
      <c r="AB77" s="265"/>
      <c r="AC77" s="119"/>
      <c r="AD77" s="144"/>
      <c r="AE77" s="127"/>
      <c r="AF77" s="265"/>
      <c r="AG77" s="119"/>
      <c r="AH77" s="144"/>
      <c r="AJ77" s="31"/>
      <c r="AK77" s="183"/>
      <c r="AL77" s="183"/>
      <c r="AM77" s="183"/>
      <c r="AN77" s="183"/>
      <c r="AO77" s="476"/>
      <c r="AP77" s="273"/>
      <c r="AQ77" s="486"/>
      <c r="AR77" s="486"/>
      <c r="AS77" s="486"/>
      <c r="AV77" s="566"/>
      <c r="AW77" s="31"/>
    </row>
    <row r="78" spans="1:49" ht="12.75" customHeight="1" x14ac:dyDescent="0.35">
      <c r="A78" s="109" t="s">
        <v>6</v>
      </c>
      <c r="B78" s="127"/>
      <c r="C78" s="265"/>
      <c r="D78" s="119"/>
      <c r="E78" s="144"/>
      <c r="F78" s="127"/>
      <c r="G78" s="265"/>
      <c r="H78" s="265"/>
      <c r="I78" s="144"/>
      <c r="J78" s="127"/>
      <c r="K78" s="265"/>
      <c r="L78" s="119"/>
      <c r="M78" s="144"/>
      <c r="N78" s="127"/>
      <c r="O78" s="265"/>
      <c r="P78" s="119"/>
      <c r="Q78" s="144"/>
      <c r="R78" s="127"/>
      <c r="S78" s="265"/>
      <c r="T78" s="119"/>
      <c r="U78" s="144"/>
      <c r="V78" s="127">
        <v>-18</v>
      </c>
      <c r="W78" s="265">
        <v>0</v>
      </c>
      <c r="X78" s="450">
        <v>4</v>
      </c>
      <c r="Y78" s="498"/>
      <c r="Z78" s="115"/>
      <c r="AA78" s="127"/>
      <c r="AB78" s="265"/>
      <c r="AC78" s="119"/>
      <c r="AD78" s="144"/>
      <c r="AE78" s="127"/>
      <c r="AF78" s="265"/>
      <c r="AG78" s="119"/>
      <c r="AH78" s="144"/>
      <c r="AJ78" s="31"/>
      <c r="AK78" s="183"/>
      <c r="AL78" s="183"/>
      <c r="AM78" s="183"/>
      <c r="AN78" s="183"/>
      <c r="AO78" s="476"/>
      <c r="AP78" s="273"/>
      <c r="AQ78" s="486"/>
      <c r="AR78" s="486"/>
      <c r="AS78" s="486"/>
      <c r="AV78" s="566"/>
      <c r="AW78" s="31"/>
    </row>
    <row r="79" spans="1:49" ht="12.75" customHeight="1" x14ac:dyDescent="0.35">
      <c r="A79" s="109" t="s">
        <v>9</v>
      </c>
      <c r="B79" s="127"/>
      <c r="C79" s="265"/>
      <c r="D79" s="119"/>
      <c r="E79" s="144"/>
      <c r="F79" s="127"/>
      <c r="G79" s="265"/>
      <c r="H79" s="265"/>
      <c r="I79" s="144"/>
      <c r="J79" s="127"/>
      <c r="K79" s="265"/>
      <c r="L79" s="119"/>
      <c r="M79" s="144"/>
      <c r="N79" s="127"/>
      <c r="O79" s="265"/>
      <c r="P79" s="119"/>
      <c r="Q79" s="144"/>
      <c r="R79" s="127"/>
      <c r="S79" s="265"/>
      <c r="T79" s="119"/>
      <c r="U79" s="144"/>
      <c r="V79" s="127">
        <v>-99</v>
      </c>
      <c r="W79" s="265">
        <v>-102</v>
      </c>
      <c r="X79" s="450">
        <v>-103</v>
      </c>
      <c r="Y79" s="498"/>
      <c r="Z79" s="115"/>
      <c r="AA79" s="127"/>
      <c r="AB79" s="265"/>
      <c r="AC79" s="119"/>
      <c r="AD79" s="144"/>
      <c r="AE79" s="127"/>
      <c r="AF79" s="265"/>
      <c r="AG79" s="119"/>
      <c r="AH79" s="144"/>
      <c r="AJ79" s="31"/>
      <c r="AK79" s="183"/>
      <c r="AL79" s="183"/>
      <c r="AM79" s="183"/>
      <c r="AN79" s="183"/>
      <c r="AO79" s="476"/>
      <c r="AP79" s="273"/>
      <c r="AQ79" s="486"/>
      <c r="AR79" s="486"/>
      <c r="AS79" s="486"/>
      <c r="AV79" s="566"/>
      <c r="AW79" s="31"/>
    </row>
    <row r="80" spans="1:49" ht="12.75" customHeight="1" x14ac:dyDescent="0.35">
      <c r="A80" s="109" t="s">
        <v>12</v>
      </c>
      <c r="B80" s="127"/>
      <c r="C80" s="265"/>
      <c r="D80" s="119"/>
      <c r="E80" s="144"/>
      <c r="F80" s="127"/>
      <c r="G80" s="265"/>
      <c r="H80" s="265"/>
      <c r="I80" s="144"/>
      <c r="J80" s="127"/>
      <c r="K80" s="265"/>
      <c r="L80" s="119"/>
      <c r="M80" s="144"/>
      <c r="N80" s="127"/>
      <c r="O80" s="265"/>
      <c r="P80" s="119"/>
      <c r="Q80" s="144"/>
      <c r="R80" s="127"/>
      <c r="S80" s="265"/>
      <c r="T80" s="119"/>
      <c r="U80" s="144"/>
      <c r="V80" s="127">
        <v>0</v>
      </c>
      <c r="W80" s="265">
        <v>0</v>
      </c>
      <c r="X80" s="450">
        <v>0</v>
      </c>
      <c r="Y80" s="498"/>
      <c r="Z80" s="115"/>
      <c r="AA80" s="127"/>
      <c r="AB80" s="265"/>
      <c r="AC80" s="119"/>
      <c r="AD80" s="144"/>
      <c r="AE80" s="127"/>
      <c r="AF80" s="265"/>
      <c r="AG80" s="119"/>
      <c r="AH80" s="144"/>
      <c r="AJ80" s="31"/>
      <c r="AK80" s="183"/>
      <c r="AL80" s="183"/>
      <c r="AM80" s="183"/>
      <c r="AN80" s="183"/>
      <c r="AO80" s="476"/>
      <c r="AP80" s="273"/>
      <c r="AQ80" s="486"/>
      <c r="AR80" s="486"/>
      <c r="AS80" s="486"/>
      <c r="AV80" s="566"/>
      <c r="AW80" s="31"/>
    </row>
    <row r="81" spans="1:49" ht="12.75" customHeight="1" x14ac:dyDescent="0.35">
      <c r="A81" s="109" t="s">
        <v>15</v>
      </c>
      <c r="B81" s="127"/>
      <c r="C81" s="265"/>
      <c r="D81" s="119"/>
      <c r="E81" s="144"/>
      <c r="F81" s="127"/>
      <c r="G81" s="265"/>
      <c r="H81" s="265"/>
      <c r="I81" s="144"/>
      <c r="J81" s="127"/>
      <c r="K81" s="265"/>
      <c r="L81" s="119"/>
      <c r="M81" s="144"/>
      <c r="N81" s="127"/>
      <c r="O81" s="265"/>
      <c r="P81" s="119"/>
      <c r="Q81" s="144"/>
      <c r="R81" s="127"/>
      <c r="S81" s="265"/>
      <c r="T81" s="119"/>
      <c r="U81" s="144"/>
      <c r="V81" s="127">
        <v>-44</v>
      </c>
      <c r="W81" s="265">
        <v>-21</v>
      </c>
      <c r="X81" s="450">
        <v>-27</v>
      </c>
      <c r="Y81" s="498"/>
      <c r="Z81" s="115"/>
      <c r="AA81" s="127"/>
      <c r="AB81" s="265"/>
      <c r="AC81" s="119"/>
      <c r="AD81" s="144"/>
      <c r="AE81" s="127"/>
      <c r="AF81" s="265"/>
      <c r="AG81" s="119"/>
      <c r="AH81" s="144"/>
      <c r="AJ81" s="31"/>
      <c r="AK81" s="183"/>
      <c r="AL81" s="183"/>
      <c r="AM81" s="183"/>
      <c r="AN81" s="183"/>
      <c r="AO81" s="476"/>
      <c r="AP81" s="273"/>
      <c r="AQ81" s="486"/>
      <c r="AR81" s="486"/>
      <c r="AS81" s="486"/>
      <c r="AV81" s="566"/>
      <c r="AW81" s="31"/>
    </row>
    <row r="82" spans="1:49" ht="12.75" customHeight="1" x14ac:dyDescent="0.35">
      <c r="A82" s="390" t="s">
        <v>259</v>
      </c>
      <c r="B82" s="127"/>
      <c r="C82" s="265"/>
      <c r="D82" s="119"/>
      <c r="E82" s="144"/>
      <c r="F82" s="127"/>
      <c r="G82" s="265"/>
      <c r="H82" s="265"/>
      <c r="I82" s="144"/>
      <c r="J82" s="127"/>
      <c r="K82" s="265"/>
      <c r="L82" s="119"/>
      <c r="M82" s="144"/>
      <c r="N82" s="127"/>
      <c r="O82" s="265"/>
      <c r="P82" s="119"/>
      <c r="Q82" s="144"/>
      <c r="R82" s="127"/>
      <c r="S82" s="265"/>
      <c r="T82" s="119"/>
      <c r="U82" s="144"/>
      <c r="V82" s="127">
        <f>V52+V60+V61+V62+V63+V64+V65+V69+V73</f>
        <v>41</v>
      </c>
      <c r="W82" s="265">
        <v>20</v>
      </c>
      <c r="X82" s="450">
        <v>33</v>
      </c>
      <c r="Y82" s="498"/>
      <c r="Z82" s="115"/>
      <c r="AA82" s="127"/>
      <c r="AB82" s="265"/>
      <c r="AC82" s="119"/>
      <c r="AD82" s="144"/>
      <c r="AE82" s="127"/>
      <c r="AF82" s="265"/>
      <c r="AG82" s="119"/>
      <c r="AH82" s="144"/>
      <c r="AJ82" s="31"/>
      <c r="AK82" s="184"/>
      <c r="AL82" s="184"/>
      <c r="AM82" s="184"/>
      <c r="AN82" s="184"/>
      <c r="AO82" s="482"/>
      <c r="AP82" s="273"/>
      <c r="AQ82" s="490"/>
      <c r="AR82" s="490"/>
      <c r="AS82" s="490"/>
      <c r="AV82" s="566"/>
      <c r="AW82" s="31"/>
    </row>
    <row r="83" spans="1:49" ht="26.25" customHeight="1" thickBot="1" x14ac:dyDescent="0.4">
      <c r="A83" s="107" t="s">
        <v>286</v>
      </c>
      <c r="B83" s="128"/>
      <c r="C83" s="300"/>
      <c r="D83" s="120"/>
      <c r="E83" s="145"/>
      <c r="F83" s="128"/>
      <c r="G83" s="300"/>
      <c r="H83" s="300"/>
      <c r="I83" s="145"/>
      <c r="J83" s="128"/>
      <c r="K83" s="300"/>
      <c r="L83" s="120"/>
      <c r="M83" s="145"/>
      <c r="N83" s="128"/>
      <c r="O83" s="300"/>
      <c r="P83" s="120"/>
      <c r="Q83" s="145"/>
      <c r="R83" s="128"/>
      <c r="S83" s="300"/>
      <c r="T83" s="120"/>
      <c r="U83" s="145"/>
      <c r="V83" s="128">
        <v>842</v>
      </c>
      <c r="W83" s="300">
        <v>902</v>
      </c>
      <c r="X83" s="259">
        <v>970</v>
      </c>
      <c r="Y83" s="497"/>
      <c r="Z83" s="116"/>
      <c r="AA83" s="128"/>
      <c r="AB83" s="300"/>
      <c r="AC83" s="120"/>
      <c r="AD83" s="145"/>
      <c r="AE83" s="128"/>
      <c r="AF83" s="300"/>
      <c r="AG83" s="120"/>
      <c r="AH83" s="145"/>
      <c r="AJ83" s="31"/>
      <c r="AK83" s="516"/>
      <c r="AL83" s="516"/>
      <c r="AM83" s="516"/>
      <c r="AN83" s="516"/>
      <c r="AO83" s="517"/>
      <c r="AP83" s="518"/>
      <c r="AQ83" s="515"/>
      <c r="AR83" s="515"/>
      <c r="AS83" s="515"/>
      <c r="AV83" s="566"/>
      <c r="AW83" s="31"/>
    </row>
    <row r="84" spans="1:49" ht="12.75" customHeight="1" thickTop="1" x14ac:dyDescent="0.35">
      <c r="A84" s="107"/>
      <c r="B84" s="126"/>
      <c r="C84" s="299"/>
      <c r="D84" s="118"/>
      <c r="E84" s="143"/>
      <c r="F84" s="126"/>
      <c r="G84" s="299"/>
      <c r="H84" s="299"/>
      <c r="I84" s="143"/>
      <c r="J84" s="126"/>
      <c r="K84" s="299"/>
      <c r="L84" s="118"/>
      <c r="M84" s="143"/>
      <c r="N84" s="126"/>
      <c r="O84" s="299"/>
      <c r="P84" s="118"/>
      <c r="Q84" s="143"/>
      <c r="R84" s="126"/>
      <c r="S84" s="299"/>
      <c r="T84" s="118"/>
      <c r="U84" s="143"/>
      <c r="V84" s="126"/>
      <c r="W84" s="299"/>
      <c r="X84" s="449"/>
      <c r="Y84" s="497"/>
      <c r="Z84" s="114"/>
      <c r="AA84" s="126"/>
      <c r="AB84" s="299"/>
      <c r="AC84" s="118"/>
      <c r="AD84" s="143"/>
      <c r="AE84" s="126"/>
      <c r="AF84" s="299"/>
      <c r="AG84" s="118"/>
      <c r="AH84" s="143"/>
      <c r="AJ84" s="31"/>
      <c r="AK84" s="183"/>
      <c r="AL84" s="183"/>
      <c r="AM84" s="183"/>
      <c r="AN84" s="183"/>
      <c r="AO84" s="476"/>
      <c r="AP84" s="273"/>
      <c r="AQ84" s="486"/>
      <c r="AR84" s="486"/>
      <c r="AS84" s="486"/>
      <c r="AV84" s="566"/>
      <c r="AW84" s="31"/>
    </row>
    <row r="85" spans="1:49" ht="24" customHeight="1" x14ac:dyDescent="0.35">
      <c r="A85" s="107" t="s">
        <v>287</v>
      </c>
      <c r="B85" s="126"/>
      <c r="C85" s="303"/>
      <c r="D85" s="118"/>
      <c r="E85" s="114"/>
      <c r="F85" s="126"/>
      <c r="G85" s="303"/>
      <c r="H85" s="303"/>
      <c r="I85" s="114"/>
      <c r="J85" s="126"/>
      <c r="K85" s="303"/>
      <c r="L85" s="118"/>
      <c r="M85" s="114"/>
      <c r="N85" s="126"/>
      <c r="O85" s="303"/>
      <c r="P85" s="118"/>
      <c r="Q85" s="114"/>
      <c r="R85" s="126"/>
      <c r="S85" s="303"/>
      <c r="T85" s="118"/>
      <c r="U85" s="114"/>
      <c r="V85" s="126"/>
      <c r="W85" s="303"/>
      <c r="X85" s="449"/>
      <c r="Y85" s="497"/>
      <c r="Z85" s="114"/>
      <c r="AA85" s="126"/>
      <c r="AB85" s="303"/>
      <c r="AC85" s="118"/>
      <c r="AD85" s="114"/>
      <c r="AE85" s="126"/>
      <c r="AF85" s="303"/>
      <c r="AG85" s="118"/>
      <c r="AH85" s="114"/>
      <c r="AJ85" s="31"/>
      <c r="AK85" s="114"/>
      <c r="AL85" s="114"/>
      <c r="AM85" s="114"/>
      <c r="AN85" s="114"/>
      <c r="AO85" s="274"/>
      <c r="AP85" s="274"/>
      <c r="AQ85" s="114"/>
      <c r="AR85" s="114"/>
      <c r="AS85" s="114"/>
      <c r="AV85" s="566"/>
      <c r="AW85" s="31"/>
    </row>
    <row r="86" spans="1:49" ht="12.75" customHeight="1" x14ac:dyDescent="0.35">
      <c r="A86" s="109" t="s">
        <v>259</v>
      </c>
      <c r="B86" s="127"/>
      <c r="C86" s="304"/>
      <c r="D86" s="119"/>
      <c r="E86" s="115"/>
      <c r="F86" s="127"/>
      <c r="G86" s="304"/>
      <c r="H86" s="304"/>
      <c r="I86" s="115"/>
      <c r="J86" s="127"/>
      <c r="K86" s="304"/>
      <c r="L86" s="119"/>
      <c r="M86" s="115"/>
      <c r="N86" s="127"/>
      <c r="O86" s="304"/>
      <c r="P86" s="119"/>
      <c r="Q86" s="115"/>
      <c r="R86" s="127"/>
      <c r="S86" s="304"/>
      <c r="T86" s="119"/>
      <c r="U86" s="115"/>
      <c r="V86" s="127"/>
      <c r="W86" s="304"/>
      <c r="X86" s="450"/>
      <c r="Y86" s="498"/>
      <c r="Z86" s="115"/>
      <c r="AA86" s="127"/>
      <c r="AB86" s="304"/>
      <c r="AC86" s="119"/>
      <c r="AD86" s="115"/>
      <c r="AE86" s="127"/>
      <c r="AF86" s="304"/>
      <c r="AG86" s="119"/>
      <c r="AH86" s="115"/>
      <c r="AJ86" s="31"/>
      <c r="AK86" s="115"/>
      <c r="AL86" s="115"/>
      <c r="AM86" s="115"/>
      <c r="AN86" s="115"/>
      <c r="AO86" s="110"/>
      <c r="AP86" s="110"/>
      <c r="AQ86" s="115"/>
      <c r="AR86" s="115"/>
      <c r="AS86" s="115"/>
      <c r="AV86" s="566"/>
      <c r="AW86" s="31"/>
    </row>
    <row r="87" spans="1:49" ht="26.25" customHeight="1" thickBot="1" x14ac:dyDescent="0.4">
      <c r="A87" s="107" t="s">
        <v>288</v>
      </c>
      <c r="B87" s="128"/>
      <c r="C87" s="301"/>
      <c r="D87" s="120"/>
      <c r="E87" s="116"/>
      <c r="F87" s="128"/>
      <c r="G87" s="301"/>
      <c r="H87" s="301"/>
      <c r="I87" s="116"/>
      <c r="J87" s="128"/>
      <c r="K87" s="301"/>
      <c r="L87" s="120"/>
      <c r="M87" s="116"/>
      <c r="N87" s="128"/>
      <c r="O87" s="301"/>
      <c r="P87" s="120"/>
      <c r="Q87" s="116"/>
      <c r="R87" s="128"/>
      <c r="S87" s="301"/>
      <c r="T87" s="120"/>
      <c r="U87" s="116"/>
      <c r="V87" s="128"/>
      <c r="W87" s="301"/>
      <c r="X87" s="259"/>
      <c r="Y87" s="497"/>
      <c r="Z87" s="116"/>
      <c r="AA87" s="128"/>
      <c r="AB87" s="301"/>
      <c r="AC87" s="120"/>
      <c r="AD87" s="116"/>
      <c r="AE87" s="128"/>
      <c r="AF87" s="301"/>
      <c r="AG87" s="120"/>
      <c r="AH87" s="116"/>
      <c r="AJ87" s="31"/>
      <c r="AK87" s="164"/>
      <c r="AL87" s="164"/>
      <c r="AM87" s="164"/>
      <c r="AN87" s="164"/>
      <c r="AO87" s="475"/>
      <c r="AP87" s="274"/>
      <c r="AQ87" s="116"/>
      <c r="AR87" s="116"/>
      <c r="AS87" s="116"/>
      <c r="AV87" s="566"/>
      <c r="AW87" s="31"/>
    </row>
    <row r="88" spans="1:49" ht="12.75" customHeight="1" thickTop="1" x14ac:dyDescent="0.35">
      <c r="A88" s="107"/>
      <c r="B88" s="126"/>
      <c r="C88" s="299"/>
      <c r="D88" s="118"/>
      <c r="E88" s="143"/>
      <c r="F88" s="126"/>
      <c r="G88" s="299"/>
      <c r="H88" s="299"/>
      <c r="I88" s="143"/>
      <c r="J88" s="126"/>
      <c r="K88" s="299"/>
      <c r="L88" s="118"/>
      <c r="M88" s="143"/>
      <c r="N88" s="126"/>
      <c r="O88" s="299"/>
      <c r="P88" s="118"/>
      <c r="Q88" s="143"/>
      <c r="R88" s="126"/>
      <c r="S88" s="299"/>
      <c r="T88" s="118"/>
      <c r="U88" s="143"/>
      <c r="V88" s="126"/>
      <c r="W88" s="299"/>
      <c r="X88" s="449"/>
      <c r="Y88" s="497"/>
      <c r="Z88" s="114"/>
      <c r="AA88" s="126"/>
      <c r="AB88" s="299"/>
      <c r="AC88" s="118"/>
      <c r="AD88" s="143"/>
      <c r="AE88" s="126"/>
      <c r="AF88" s="299"/>
      <c r="AG88" s="118"/>
      <c r="AH88" s="143"/>
      <c r="AJ88" s="31"/>
      <c r="AK88" s="183"/>
      <c r="AL88" s="183"/>
      <c r="AM88" s="183"/>
      <c r="AN88" s="183"/>
      <c r="AO88" s="476"/>
      <c r="AP88" s="273"/>
      <c r="AQ88" s="486"/>
      <c r="AR88" s="486"/>
      <c r="AS88" s="486"/>
      <c r="AV88" s="566"/>
      <c r="AW88" s="31"/>
    </row>
    <row r="89" spans="1:49" ht="24" customHeight="1" x14ac:dyDescent="0.35">
      <c r="A89" s="107" t="s">
        <v>289</v>
      </c>
      <c r="B89" s="126"/>
      <c r="C89" s="299"/>
      <c r="D89" s="118"/>
      <c r="E89" s="143"/>
      <c r="F89" s="126"/>
      <c r="G89" s="299"/>
      <c r="H89" s="299"/>
      <c r="I89" s="143"/>
      <c r="J89" s="126"/>
      <c r="K89" s="299"/>
      <c r="L89" s="118"/>
      <c r="M89" s="143"/>
      <c r="N89" s="126"/>
      <c r="O89" s="299"/>
      <c r="P89" s="118"/>
      <c r="Q89" s="143"/>
      <c r="R89" s="126"/>
      <c r="S89" s="299"/>
      <c r="T89" s="118"/>
      <c r="U89" s="143"/>
      <c r="V89" s="126">
        <v>615</v>
      </c>
      <c r="W89" s="299">
        <v>698</v>
      </c>
      <c r="X89" s="449">
        <v>787</v>
      </c>
      <c r="Y89" s="497"/>
      <c r="Z89" s="114">
        <v>697</v>
      </c>
      <c r="AA89" s="126">
        <v>639</v>
      </c>
      <c r="AB89" s="299">
        <v>658</v>
      </c>
      <c r="AC89" s="118">
        <v>718</v>
      </c>
      <c r="AD89" s="143">
        <v>495</v>
      </c>
      <c r="AE89" s="126">
        <v>490</v>
      </c>
      <c r="AF89" s="299">
        <v>445</v>
      </c>
      <c r="AG89" s="118">
        <v>631</v>
      </c>
      <c r="AH89" s="143">
        <v>455</v>
      </c>
      <c r="AJ89" s="31"/>
      <c r="AK89" s="182"/>
      <c r="AL89" s="182"/>
      <c r="AM89" s="182"/>
      <c r="AN89" s="182"/>
      <c r="AO89" s="481"/>
      <c r="AP89" s="518"/>
      <c r="AQ89" s="489">
        <v>2797</v>
      </c>
      <c r="AR89" s="489">
        <v>2510</v>
      </c>
      <c r="AS89" s="489">
        <f t="shared" ref="AS89:AS101" si="58">SUM(AE89:AH89)</f>
        <v>2021</v>
      </c>
      <c r="AV89" s="566"/>
      <c r="AW89" s="31"/>
    </row>
    <row r="90" spans="1:49" ht="12.75" customHeight="1" x14ac:dyDescent="0.35">
      <c r="A90" s="109" t="s">
        <v>3</v>
      </c>
      <c r="B90" s="127"/>
      <c r="C90" s="265"/>
      <c r="D90" s="119"/>
      <c r="E90" s="144"/>
      <c r="F90" s="127"/>
      <c r="G90" s="265"/>
      <c r="H90" s="265"/>
      <c r="I90" s="144"/>
      <c r="J90" s="127"/>
      <c r="K90" s="265"/>
      <c r="L90" s="119"/>
      <c r="M90" s="144"/>
      <c r="N90" s="127"/>
      <c r="O90" s="265"/>
      <c r="P90" s="119"/>
      <c r="Q90" s="144"/>
      <c r="R90" s="127"/>
      <c r="S90" s="265"/>
      <c r="T90" s="119"/>
      <c r="U90" s="144"/>
      <c r="V90" s="127">
        <v>-99</v>
      </c>
      <c r="W90" s="265">
        <v>-95</v>
      </c>
      <c r="X90" s="450">
        <v>-85</v>
      </c>
      <c r="Y90" s="498"/>
      <c r="Z90" s="115">
        <v>-77</v>
      </c>
      <c r="AA90" s="127">
        <v>-63</v>
      </c>
      <c r="AB90" s="265">
        <v>-41</v>
      </c>
      <c r="AC90" s="119">
        <v>-42</v>
      </c>
      <c r="AD90" s="144">
        <v>-39</v>
      </c>
      <c r="AE90" s="127">
        <v>-40</v>
      </c>
      <c r="AF90" s="265">
        <v>-32</v>
      </c>
      <c r="AG90" s="119">
        <v>-38</v>
      </c>
      <c r="AH90" s="144">
        <v>-41</v>
      </c>
      <c r="AJ90" s="31"/>
      <c r="AK90" s="183"/>
      <c r="AL90" s="183"/>
      <c r="AM90" s="183"/>
      <c r="AN90" s="183"/>
      <c r="AO90" s="476"/>
      <c r="AP90" s="273"/>
      <c r="AQ90" s="486">
        <v>-356</v>
      </c>
      <c r="AR90" s="486">
        <v>-185</v>
      </c>
      <c r="AS90" s="486">
        <f t="shared" si="58"/>
        <v>-151</v>
      </c>
      <c r="AV90" s="566"/>
      <c r="AW90" s="31"/>
    </row>
    <row r="91" spans="1:49" ht="12.75" customHeight="1" x14ac:dyDescent="0.35">
      <c r="A91" s="109" t="s">
        <v>6</v>
      </c>
      <c r="B91" s="127"/>
      <c r="C91" s="265"/>
      <c r="D91" s="119"/>
      <c r="E91" s="144"/>
      <c r="F91" s="127"/>
      <c r="G91" s="265"/>
      <c r="H91" s="265"/>
      <c r="I91" s="144"/>
      <c r="J91" s="127"/>
      <c r="K91" s="265"/>
      <c r="L91" s="119"/>
      <c r="M91" s="144"/>
      <c r="N91" s="127"/>
      <c r="O91" s="265"/>
      <c r="P91" s="119"/>
      <c r="Q91" s="144"/>
      <c r="R91" s="127"/>
      <c r="S91" s="265"/>
      <c r="T91" s="119"/>
      <c r="U91" s="144"/>
      <c r="V91" s="127">
        <v>-18</v>
      </c>
      <c r="W91" s="265">
        <v>0</v>
      </c>
      <c r="X91" s="450">
        <v>4</v>
      </c>
      <c r="Y91" s="498"/>
      <c r="Z91" s="115">
        <v>-84</v>
      </c>
      <c r="AA91" s="127">
        <v>-7</v>
      </c>
      <c r="AB91" s="265">
        <v>-6</v>
      </c>
      <c r="AC91" s="119">
        <v>0</v>
      </c>
      <c r="AD91" s="144">
        <v>-112</v>
      </c>
      <c r="AE91" s="127">
        <v>-14</v>
      </c>
      <c r="AF91" s="265">
        <v>-67</v>
      </c>
      <c r="AG91" s="119">
        <v>-3</v>
      </c>
      <c r="AH91" s="144">
        <v>-177</v>
      </c>
      <c r="AJ91" s="31"/>
      <c r="AK91" s="183"/>
      <c r="AL91" s="183"/>
      <c r="AM91" s="183"/>
      <c r="AN91" s="183"/>
      <c r="AO91" s="476"/>
      <c r="AP91" s="273"/>
      <c r="AQ91" s="486">
        <v>-98</v>
      </c>
      <c r="AR91" s="486">
        <v>-125</v>
      </c>
      <c r="AS91" s="486">
        <f t="shared" si="58"/>
        <v>-261</v>
      </c>
      <c r="AV91" s="566"/>
      <c r="AW91" s="31"/>
    </row>
    <row r="92" spans="1:49" ht="12.75" customHeight="1" x14ac:dyDescent="0.35">
      <c r="A92" s="109" t="s">
        <v>9</v>
      </c>
      <c r="B92" s="127"/>
      <c r="C92" s="265"/>
      <c r="D92" s="119"/>
      <c r="E92" s="144"/>
      <c r="F92" s="127"/>
      <c r="G92" s="265"/>
      <c r="H92" s="265"/>
      <c r="I92" s="144"/>
      <c r="J92" s="127"/>
      <c r="K92" s="265"/>
      <c r="L92" s="119"/>
      <c r="M92" s="144"/>
      <c r="N92" s="127"/>
      <c r="O92" s="265"/>
      <c r="P92" s="119"/>
      <c r="Q92" s="144"/>
      <c r="R92" s="127"/>
      <c r="S92" s="265"/>
      <c r="T92" s="119"/>
      <c r="U92" s="144"/>
      <c r="V92" s="127">
        <v>-99</v>
      </c>
      <c r="W92" s="265">
        <v>-102</v>
      </c>
      <c r="X92" s="450">
        <v>-103</v>
      </c>
      <c r="Y92" s="498"/>
      <c r="Z92" s="115">
        <v>-107</v>
      </c>
      <c r="AA92" s="127">
        <v>-115</v>
      </c>
      <c r="AB92" s="265">
        <v>-114</v>
      </c>
      <c r="AC92" s="119">
        <v>-115</v>
      </c>
      <c r="AD92" s="144">
        <v>-117</v>
      </c>
      <c r="AE92" s="127">
        <v>-127</v>
      </c>
      <c r="AF92" s="265">
        <v>-117</v>
      </c>
      <c r="AG92" s="119">
        <v>-118</v>
      </c>
      <c r="AH92" s="144">
        <v>-100</v>
      </c>
      <c r="AJ92" s="31"/>
      <c r="AK92" s="183"/>
      <c r="AL92" s="183"/>
      <c r="AM92" s="183"/>
      <c r="AN92" s="183"/>
      <c r="AO92" s="476"/>
      <c r="AP92" s="273"/>
      <c r="AQ92" s="486">
        <v>-411</v>
      </c>
      <c r="AR92" s="486">
        <v>-461</v>
      </c>
      <c r="AS92" s="486">
        <f t="shared" si="58"/>
        <v>-462</v>
      </c>
      <c r="AV92" s="566"/>
      <c r="AW92" s="31"/>
    </row>
    <row r="93" spans="1:49" ht="12.75" customHeight="1" x14ac:dyDescent="0.35">
      <c r="A93" s="109" t="s">
        <v>12</v>
      </c>
      <c r="B93" s="127"/>
      <c r="C93" s="265"/>
      <c r="D93" s="119"/>
      <c r="E93" s="144"/>
      <c r="F93" s="127"/>
      <c r="G93" s="265"/>
      <c r="H93" s="265"/>
      <c r="I93" s="144"/>
      <c r="J93" s="127"/>
      <c r="K93" s="265"/>
      <c r="L93" s="119"/>
      <c r="M93" s="144"/>
      <c r="N93" s="127"/>
      <c r="O93" s="265"/>
      <c r="P93" s="119"/>
      <c r="Q93" s="144"/>
      <c r="R93" s="127"/>
      <c r="S93" s="265"/>
      <c r="T93" s="119"/>
      <c r="U93" s="144"/>
      <c r="V93" s="127">
        <v>0</v>
      </c>
      <c r="W93" s="265">
        <v>0</v>
      </c>
      <c r="X93" s="450">
        <v>0</v>
      </c>
      <c r="Y93" s="498"/>
      <c r="Z93" s="115">
        <v>0</v>
      </c>
      <c r="AA93" s="127">
        <v>0</v>
      </c>
      <c r="AB93" s="265">
        <v>0</v>
      </c>
      <c r="AC93" s="119">
        <v>0</v>
      </c>
      <c r="AD93" s="144">
        <v>0</v>
      </c>
      <c r="AE93" s="127">
        <v>0</v>
      </c>
      <c r="AF93" s="265">
        <v>0</v>
      </c>
      <c r="AG93" s="119"/>
      <c r="AH93" s="144"/>
      <c r="AJ93" s="31"/>
      <c r="AK93" s="183"/>
      <c r="AL93" s="183"/>
      <c r="AM93" s="183"/>
      <c r="AN93" s="183"/>
      <c r="AO93" s="476"/>
      <c r="AP93" s="273"/>
      <c r="AQ93" s="486">
        <v>0</v>
      </c>
      <c r="AR93" s="115">
        <v>0</v>
      </c>
      <c r="AS93" s="115">
        <f t="shared" si="58"/>
        <v>0</v>
      </c>
      <c r="AV93" s="566"/>
      <c r="AW93" s="31"/>
    </row>
    <row r="94" spans="1:49" ht="12.75" customHeight="1" x14ac:dyDescent="0.35">
      <c r="A94" s="109" t="s">
        <v>15</v>
      </c>
      <c r="B94" s="127"/>
      <c r="C94" s="265"/>
      <c r="D94" s="119"/>
      <c r="E94" s="144"/>
      <c r="F94" s="127"/>
      <c r="G94" s="265"/>
      <c r="H94" s="265"/>
      <c r="I94" s="144"/>
      <c r="J94" s="127"/>
      <c r="K94" s="265"/>
      <c r="L94" s="119"/>
      <c r="M94" s="144"/>
      <c r="N94" s="127"/>
      <c r="O94" s="265"/>
      <c r="P94" s="119"/>
      <c r="Q94" s="144"/>
      <c r="R94" s="127"/>
      <c r="S94" s="265"/>
      <c r="T94" s="119"/>
      <c r="U94" s="144"/>
      <c r="V94" s="127">
        <v>-44</v>
      </c>
      <c r="W94" s="265">
        <v>-21</v>
      </c>
      <c r="X94" s="450">
        <v>-27</v>
      </c>
      <c r="Y94" s="498"/>
      <c r="Z94" s="115">
        <v>-44</v>
      </c>
      <c r="AA94" s="127">
        <v>-39</v>
      </c>
      <c r="AB94" s="265">
        <v>-14</v>
      </c>
      <c r="AC94" s="119">
        <v>-6</v>
      </c>
      <c r="AD94" s="144">
        <v>-122</v>
      </c>
      <c r="AE94" s="127">
        <v>0</v>
      </c>
      <c r="AF94" s="265">
        <v>-32</v>
      </c>
      <c r="AG94" s="119">
        <v>-19</v>
      </c>
      <c r="AH94" s="144">
        <v>-92</v>
      </c>
      <c r="AJ94" s="31"/>
      <c r="AK94" s="183"/>
      <c r="AL94" s="183"/>
      <c r="AM94" s="183"/>
      <c r="AN94" s="183"/>
      <c r="AO94" s="476"/>
      <c r="AP94" s="273"/>
      <c r="AQ94" s="486">
        <v>-136</v>
      </c>
      <c r="AR94" s="486">
        <v>-181</v>
      </c>
      <c r="AS94" s="486">
        <f t="shared" si="58"/>
        <v>-143</v>
      </c>
      <c r="AV94" s="566"/>
      <c r="AW94" s="31"/>
    </row>
    <row r="95" spans="1:49" ht="12.75" customHeight="1" x14ac:dyDescent="0.35">
      <c r="A95" s="109" t="s">
        <v>259</v>
      </c>
      <c r="B95" s="127"/>
      <c r="C95" s="265"/>
      <c r="D95" s="119"/>
      <c r="E95" s="144"/>
      <c r="F95" s="127"/>
      <c r="G95" s="265"/>
      <c r="H95" s="265"/>
      <c r="I95" s="144"/>
      <c r="J95" s="127"/>
      <c r="K95" s="265"/>
      <c r="L95" s="119"/>
      <c r="M95" s="144"/>
      <c r="N95" s="127"/>
      <c r="O95" s="265"/>
      <c r="P95" s="119"/>
      <c r="Q95" s="144"/>
      <c r="R95" s="127"/>
      <c r="S95" s="265"/>
      <c r="T95" s="119"/>
      <c r="U95" s="144"/>
      <c r="V95" s="127"/>
      <c r="W95" s="265"/>
      <c r="X95" s="450"/>
      <c r="Y95" s="498"/>
      <c r="Z95" s="115"/>
      <c r="AA95" s="127"/>
      <c r="AB95" s="265"/>
      <c r="AC95" s="119"/>
      <c r="AD95" s="144"/>
      <c r="AE95" s="127"/>
      <c r="AF95" s="265"/>
      <c r="AG95" s="119"/>
      <c r="AH95" s="144"/>
      <c r="AJ95" s="31"/>
      <c r="AK95" s="183"/>
      <c r="AL95" s="183"/>
      <c r="AM95" s="183"/>
      <c r="AN95" s="183"/>
      <c r="AO95" s="476"/>
      <c r="AP95" s="273"/>
      <c r="AQ95" s="486">
        <v>0</v>
      </c>
      <c r="AR95" s="486">
        <v>0</v>
      </c>
      <c r="AS95" s="486">
        <f t="shared" si="58"/>
        <v>0</v>
      </c>
      <c r="AV95" s="566"/>
      <c r="AW95" s="31"/>
    </row>
    <row r="96" spans="1:49" ht="12.75" customHeight="1" x14ac:dyDescent="0.35">
      <c r="A96" s="109" t="s">
        <v>290</v>
      </c>
      <c r="B96" s="127"/>
      <c r="C96" s="265"/>
      <c r="D96" s="119"/>
      <c r="E96" s="144"/>
      <c r="F96" s="127"/>
      <c r="G96" s="265"/>
      <c r="H96" s="265"/>
      <c r="I96" s="144"/>
      <c r="J96" s="127"/>
      <c r="K96" s="265"/>
      <c r="L96" s="119"/>
      <c r="M96" s="144"/>
      <c r="N96" s="127"/>
      <c r="O96" s="265"/>
      <c r="P96" s="119"/>
      <c r="Q96" s="144"/>
      <c r="R96" s="127"/>
      <c r="S96" s="265"/>
      <c r="T96" s="119"/>
      <c r="U96" s="144"/>
      <c r="V96" s="127">
        <v>-3</v>
      </c>
      <c r="W96" s="265">
        <v>-3</v>
      </c>
      <c r="X96" s="450">
        <v>-3</v>
      </c>
      <c r="Y96" s="498"/>
      <c r="Z96" s="115">
        <v>-6</v>
      </c>
      <c r="AA96" s="127">
        <v>-1</v>
      </c>
      <c r="AB96" s="265">
        <v>-2</v>
      </c>
      <c r="AC96" s="119">
        <v>-3</v>
      </c>
      <c r="AD96" s="144">
        <v>3</v>
      </c>
      <c r="AE96" s="127">
        <v>-3</v>
      </c>
      <c r="AF96" s="265">
        <v>-7</v>
      </c>
      <c r="AG96" s="119">
        <v>-6</v>
      </c>
      <c r="AH96" s="144">
        <v>-6</v>
      </c>
      <c r="AJ96" s="31"/>
      <c r="AK96" s="183"/>
      <c r="AL96" s="183"/>
      <c r="AM96" s="183"/>
      <c r="AN96" s="183"/>
      <c r="AO96" s="476"/>
      <c r="AP96" s="273"/>
      <c r="AQ96" s="486">
        <v>-15</v>
      </c>
      <c r="AR96" s="486">
        <v>-3</v>
      </c>
      <c r="AS96" s="486">
        <f t="shared" si="58"/>
        <v>-22</v>
      </c>
      <c r="AV96" s="566"/>
      <c r="AW96" s="31"/>
    </row>
    <row r="97" spans="1:49" ht="12.75" hidden="1" customHeight="1" x14ac:dyDescent="0.35">
      <c r="A97" s="109" t="s">
        <v>291</v>
      </c>
      <c r="B97" s="127"/>
      <c r="C97" s="265"/>
      <c r="D97" s="119"/>
      <c r="E97" s="144"/>
      <c r="F97" s="127"/>
      <c r="G97" s="265"/>
      <c r="H97" s="265"/>
      <c r="I97" s="144"/>
      <c r="J97" s="127"/>
      <c r="K97" s="265"/>
      <c r="L97" s="119"/>
      <c r="M97" s="144"/>
      <c r="N97" s="127"/>
      <c r="O97" s="265"/>
      <c r="P97" s="119"/>
      <c r="Q97" s="144"/>
      <c r="R97" s="127"/>
      <c r="S97" s="265"/>
      <c r="T97" s="119"/>
      <c r="U97" s="144"/>
      <c r="V97" s="127"/>
      <c r="W97" s="265"/>
      <c r="X97" s="450"/>
      <c r="Y97" s="498"/>
      <c r="Z97" s="115"/>
      <c r="AA97" s="127"/>
      <c r="AB97" s="265"/>
      <c r="AC97" s="119"/>
      <c r="AD97" s="144"/>
      <c r="AE97" s="127"/>
      <c r="AF97" s="265"/>
      <c r="AG97" s="119"/>
      <c r="AH97" s="144"/>
      <c r="AJ97" s="31"/>
      <c r="AK97" s="183"/>
      <c r="AL97" s="183"/>
      <c r="AM97" s="183"/>
      <c r="AN97" s="183"/>
      <c r="AO97" s="476"/>
      <c r="AP97" s="273"/>
      <c r="AQ97" s="486">
        <v>0</v>
      </c>
      <c r="AR97" s="486">
        <v>0</v>
      </c>
      <c r="AS97" s="486">
        <f t="shared" si="58"/>
        <v>0</v>
      </c>
      <c r="AV97" s="566"/>
      <c r="AW97" s="31"/>
    </row>
    <row r="98" spans="1:49" ht="12.75" customHeight="1" x14ac:dyDescent="0.35">
      <c r="A98" s="109" t="s">
        <v>292</v>
      </c>
      <c r="B98" s="127"/>
      <c r="C98" s="265"/>
      <c r="D98" s="119"/>
      <c r="E98" s="144"/>
      <c r="F98" s="127"/>
      <c r="G98" s="265"/>
      <c r="H98" s="265"/>
      <c r="I98" s="144"/>
      <c r="J98" s="127"/>
      <c r="K98" s="265"/>
      <c r="L98" s="119"/>
      <c r="M98" s="144"/>
      <c r="N98" s="127"/>
      <c r="O98" s="265"/>
      <c r="P98" s="119"/>
      <c r="Q98" s="144"/>
      <c r="R98" s="127"/>
      <c r="S98" s="265"/>
      <c r="T98" s="119"/>
      <c r="U98" s="144"/>
      <c r="V98" s="127">
        <v>-3</v>
      </c>
      <c r="W98" s="265">
        <v>2</v>
      </c>
      <c r="X98" s="450">
        <v>-7</v>
      </c>
      <c r="Y98" s="498"/>
      <c r="Z98" s="115">
        <v>-3</v>
      </c>
      <c r="AA98" s="127">
        <v>-5</v>
      </c>
      <c r="AB98" s="265">
        <v>-6</v>
      </c>
      <c r="AC98" s="119">
        <v>-9</v>
      </c>
      <c r="AD98" s="144">
        <v>-20</v>
      </c>
      <c r="AE98" s="127">
        <v>-9</v>
      </c>
      <c r="AF98" s="265">
        <v>6</v>
      </c>
      <c r="AG98" s="119">
        <v>-1</v>
      </c>
      <c r="AH98" s="144">
        <v>-3</v>
      </c>
      <c r="AJ98" s="31"/>
      <c r="AK98" s="183"/>
      <c r="AL98" s="183"/>
      <c r="AM98" s="183"/>
      <c r="AN98" s="183"/>
      <c r="AO98" s="476"/>
      <c r="AP98" s="273"/>
      <c r="AQ98" s="486">
        <v>-11</v>
      </c>
      <c r="AR98" s="486">
        <v>-40</v>
      </c>
      <c r="AS98" s="486">
        <f>SUM(AE98:AH98)</f>
        <v>-7</v>
      </c>
      <c r="AV98" s="566"/>
      <c r="AW98" s="31"/>
    </row>
    <row r="99" spans="1:49" ht="12.75" customHeight="1" x14ac:dyDescent="0.35">
      <c r="A99" s="109" t="s">
        <v>293</v>
      </c>
      <c r="B99" s="127"/>
      <c r="C99" s="265"/>
      <c r="D99" s="119"/>
      <c r="E99" s="144"/>
      <c r="F99" s="127"/>
      <c r="G99" s="265"/>
      <c r="H99" s="265"/>
      <c r="I99" s="144"/>
      <c r="J99" s="127"/>
      <c r="K99" s="265"/>
      <c r="L99" s="119"/>
      <c r="M99" s="144"/>
      <c r="N99" s="127"/>
      <c r="O99" s="265"/>
      <c r="P99" s="119"/>
      <c r="Q99" s="144"/>
      <c r="R99" s="127"/>
      <c r="S99" s="265"/>
      <c r="T99" s="119"/>
      <c r="U99" s="144"/>
      <c r="V99" s="127">
        <v>49</v>
      </c>
      <c r="W99" s="265">
        <v>22</v>
      </c>
      <c r="X99" s="450">
        <v>45</v>
      </c>
      <c r="Y99" s="498"/>
      <c r="Z99" s="115">
        <v>54</v>
      </c>
      <c r="AA99" s="127">
        <v>30</v>
      </c>
      <c r="AB99" s="265">
        <v>15</v>
      </c>
      <c r="AC99" s="119">
        <v>9</v>
      </c>
      <c r="AD99" s="144">
        <v>87</v>
      </c>
      <c r="AE99" s="127">
        <v>13</v>
      </c>
      <c r="AF99" s="265">
        <v>32</v>
      </c>
      <c r="AG99" s="119">
        <v>25</v>
      </c>
      <c r="AH99" s="144">
        <v>59</v>
      </c>
      <c r="AJ99" s="31"/>
      <c r="AK99" s="183"/>
      <c r="AL99" s="183"/>
      <c r="AM99" s="183"/>
      <c r="AN99" s="183"/>
      <c r="AO99" s="476"/>
      <c r="AP99" s="273"/>
      <c r="AQ99" s="486">
        <v>170</v>
      </c>
      <c r="AR99" s="486">
        <v>141</v>
      </c>
      <c r="AS99" s="486">
        <f t="shared" si="58"/>
        <v>129</v>
      </c>
      <c r="AV99" s="566"/>
      <c r="AW99" s="31"/>
    </row>
    <row r="100" spans="1:49" ht="12.75" customHeight="1" x14ac:dyDescent="0.35">
      <c r="A100" s="109" t="s">
        <v>294</v>
      </c>
      <c r="B100" s="127"/>
      <c r="C100" s="265"/>
      <c r="D100" s="119"/>
      <c r="E100" s="144"/>
      <c r="F100" s="127"/>
      <c r="G100" s="265"/>
      <c r="H100" s="265"/>
      <c r="I100" s="144"/>
      <c r="J100" s="127"/>
      <c r="K100" s="265"/>
      <c r="L100" s="119"/>
      <c r="M100" s="144"/>
      <c r="N100" s="127"/>
      <c r="O100" s="265"/>
      <c r="P100" s="119"/>
      <c r="Q100" s="144"/>
      <c r="R100" s="127"/>
      <c r="S100" s="265"/>
      <c r="T100" s="119"/>
      <c r="U100" s="144"/>
      <c r="V100" s="127">
        <v>-2</v>
      </c>
      <c r="W100" s="265">
        <v>-1</v>
      </c>
      <c r="X100" s="450">
        <v>-2</v>
      </c>
      <c r="Y100" s="498"/>
      <c r="Z100" s="115">
        <v>-2</v>
      </c>
      <c r="AA100" s="127">
        <v>-1</v>
      </c>
      <c r="AB100" s="265">
        <v>-3</v>
      </c>
      <c r="AC100" s="119">
        <v>-6</v>
      </c>
      <c r="AD100" s="144">
        <v>-2</v>
      </c>
      <c r="AE100" s="127">
        <v>-3</v>
      </c>
      <c r="AF100" s="265">
        <v>-28</v>
      </c>
      <c r="AG100" s="119">
        <v>1</v>
      </c>
      <c r="AH100" s="144">
        <v>-36</v>
      </c>
      <c r="AJ100" s="31"/>
      <c r="AK100" s="183"/>
      <c r="AL100" s="183"/>
      <c r="AM100" s="183"/>
      <c r="AN100" s="183"/>
      <c r="AO100" s="476"/>
      <c r="AP100" s="273"/>
      <c r="AQ100" s="490">
        <v>-7</v>
      </c>
      <c r="AR100" s="490">
        <v>-12</v>
      </c>
      <c r="AS100" s="490">
        <f>SUM(AE100:AH100)</f>
        <v>-66</v>
      </c>
      <c r="AV100" s="566"/>
      <c r="AW100" s="31"/>
    </row>
    <row r="101" spans="1:49" ht="25.5" customHeight="1" thickBot="1" x14ac:dyDescent="0.4">
      <c r="A101" s="107" t="s">
        <v>295</v>
      </c>
      <c r="B101" s="128"/>
      <c r="C101" s="300"/>
      <c r="D101" s="120"/>
      <c r="E101" s="145"/>
      <c r="F101" s="128"/>
      <c r="G101" s="300"/>
      <c r="H101" s="300"/>
      <c r="I101" s="145"/>
      <c r="J101" s="128"/>
      <c r="K101" s="300"/>
      <c r="L101" s="120"/>
      <c r="M101" s="145"/>
      <c r="N101" s="128"/>
      <c r="O101" s="300"/>
      <c r="P101" s="120"/>
      <c r="Q101" s="145"/>
      <c r="R101" s="128"/>
      <c r="S101" s="300"/>
      <c r="T101" s="120"/>
      <c r="U101" s="145"/>
      <c r="V101" s="128">
        <v>834</v>
      </c>
      <c r="W101" s="300">
        <v>896</v>
      </c>
      <c r="X101" s="259">
        <v>965</v>
      </c>
      <c r="Y101" s="497"/>
      <c r="Z101" s="116">
        <v>966</v>
      </c>
      <c r="AA101" s="128">
        <v>840</v>
      </c>
      <c r="AB101" s="300">
        <v>829</v>
      </c>
      <c r="AC101" s="120">
        <v>890</v>
      </c>
      <c r="AD101" s="145">
        <v>817</v>
      </c>
      <c r="AE101" s="128">
        <v>673</v>
      </c>
      <c r="AF101" s="300">
        <v>690</v>
      </c>
      <c r="AG101" s="120">
        <v>790</v>
      </c>
      <c r="AH101" s="145">
        <v>851</v>
      </c>
      <c r="AJ101" s="243"/>
      <c r="AK101" s="516"/>
      <c r="AL101" s="516"/>
      <c r="AM101" s="516"/>
      <c r="AN101" s="516"/>
      <c r="AO101" s="517"/>
      <c r="AP101" s="518"/>
      <c r="AQ101" s="515">
        <v>3661</v>
      </c>
      <c r="AR101" s="515">
        <v>3376</v>
      </c>
      <c r="AS101" s="515">
        <f t="shared" si="58"/>
        <v>3004</v>
      </c>
      <c r="AT101" s="426"/>
      <c r="AV101" s="566"/>
      <c r="AW101" s="31"/>
    </row>
    <row r="102" spans="1:49" ht="12.75" customHeight="1" thickTop="1" x14ac:dyDescent="0.35">
      <c r="A102" s="108"/>
      <c r="B102" s="127"/>
      <c r="C102" s="110"/>
      <c r="D102" s="119"/>
      <c r="E102" s="144"/>
      <c r="F102" s="127"/>
      <c r="G102" s="110"/>
      <c r="H102" s="119"/>
      <c r="I102" s="144"/>
      <c r="J102" s="127"/>
      <c r="K102" s="110"/>
      <c r="L102" s="119"/>
      <c r="M102" s="144"/>
      <c r="N102" s="127"/>
      <c r="O102" s="110"/>
      <c r="P102" s="119"/>
      <c r="Q102" s="144"/>
      <c r="R102" s="127"/>
      <c r="S102" s="110"/>
      <c r="T102" s="119"/>
      <c r="U102" s="144"/>
      <c r="V102" s="127"/>
      <c r="W102" s="110"/>
      <c r="X102" s="450"/>
      <c r="Y102" s="498"/>
      <c r="Z102" s="115"/>
      <c r="AA102" s="127"/>
      <c r="AB102" s="110"/>
      <c r="AC102" s="119"/>
      <c r="AD102" s="144"/>
      <c r="AE102" s="127"/>
      <c r="AF102" s="110"/>
      <c r="AG102" s="119"/>
      <c r="AH102" s="144"/>
      <c r="AJ102" s="31"/>
      <c r="AK102" s="183"/>
      <c r="AL102" s="183"/>
      <c r="AM102" s="183"/>
      <c r="AN102" s="183"/>
      <c r="AO102" s="476"/>
      <c r="AP102" s="273"/>
      <c r="AQ102" s="486"/>
      <c r="AR102" s="486"/>
      <c r="AS102" s="486"/>
      <c r="AV102" s="566"/>
      <c r="AW102" s="31"/>
    </row>
    <row r="103" spans="1:49" ht="12.75" customHeight="1" x14ac:dyDescent="0.35">
      <c r="A103" s="108" t="s">
        <v>296</v>
      </c>
      <c r="B103" s="127"/>
      <c r="C103" s="110"/>
      <c r="D103" s="119"/>
      <c r="E103" s="144"/>
      <c r="F103" s="127"/>
      <c r="G103" s="110"/>
      <c r="H103" s="119"/>
      <c r="I103" s="144"/>
      <c r="J103" s="127"/>
      <c r="K103" s="110"/>
      <c r="L103" s="119"/>
      <c r="M103" s="144"/>
      <c r="N103" s="127"/>
      <c r="O103" s="110"/>
      <c r="P103" s="119"/>
      <c r="Q103" s="144"/>
      <c r="R103" s="127"/>
      <c r="S103" s="110"/>
      <c r="T103" s="119"/>
      <c r="U103" s="144"/>
      <c r="V103" s="127">
        <v>261210</v>
      </c>
      <c r="W103" s="110">
        <v>261303</v>
      </c>
      <c r="X103" s="450">
        <v>261095</v>
      </c>
      <c r="Y103" s="498"/>
      <c r="Z103" s="115">
        <v>260298</v>
      </c>
      <c r="AA103" s="127">
        <v>258954</v>
      </c>
      <c r="AB103" s="110">
        <v>258732</v>
      </c>
      <c r="AC103" s="119">
        <v>257717</v>
      </c>
      <c r="AD103" s="144">
        <v>256628</v>
      </c>
      <c r="AE103" s="127">
        <v>255018</v>
      </c>
      <c r="AF103" s="110">
        <v>253844</v>
      </c>
      <c r="AG103" s="119">
        <v>254310</v>
      </c>
      <c r="AH103" s="144">
        <v>254078</v>
      </c>
      <c r="AJ103" s="31"/>
      <c r="AK103" s="183"/>
      <c r="AL103" s="183"/>
      <c r="AM103" s="183"/>
      <c r="AN103" s="183"/>
      <c r="AO103" s="476"/>
      <c r="AP103" s="273"/>
      <c r="AQ103" s="486">
        <v>261370</v>
      </c>
      <c r="AR103" s="486">
        <v>257848</v>
      </c>
      <c r="AS103" s="486">
        <v>254331</v>
      </c>
      <c r="AV103" s="566"/>
      <c r="AW103" s="31"/>
    </row>
    <row r="104" spans="1:49" ht="12.75" customHeight="1" x14ac:dyDescent="0.35">
      <c r="A104" s="109" t="s">
        <v>297</v>
      </c>
      <c r="B104" s="127"/>
      <c r="C104" s="275"/>
      <c r="D104" s="119"/>
      <c r="E104" s="115"/>
      <c r="F104" s="127"/>
      <c r="G104" s="275"/>
      <c r="H104" s="119"/>
      <c r="I104" s="115"/>
      <c r="J104" s="127"/>
      <c r="K104" s="275"/>
      <c r="L104" s="119"/>
      <c r="M104" s="115"/>
      <c r="N104" s="127"/>
      <c r="O104" s="275"/>
      <c r="P104" s="119"/>
      <c r="Q104" s="115"/>
      <c r="R104" s="127"/>
      <c r="S104" s="275"/>
      <c r="T104" s="119"/>
      <c r="U104" s="115"/>
      <c r="V104" s="127">
        <v>0</v>
      </c>
      <c r="W104" s="275">
        <v>0</v>
      </c>
      <c r="X104" s="450">
        <v>0</v>
      </c>
      <c r="Y104" s="498"/>
      <c r="Z104" s="115">
        <v>0</v>
      </c>
      <c r="AA104" s="127">
        <v>0</v>
      </c>
      <c r="AB104" s="275">
        <v>0</v>
      </c>
      <c r="AC104" s="119">
        <v>0</v>
      </c>
      <c r="AD104" s="115">
        <v>0</v>
      </c>
      <c r="AE104" s="127">
        <v>0</v>
      </c>
      <c r="AF104" s="275">
        <v>0</v>
      </c>
      <c r="AG104" s="119">
        <v>0</v>
      </c>
      <c r="AH104" s="115">
        <v>0</v>
      </c>
      <c r="AJ104" s="31"/>
      <c r="AK104" s="186"/>
      <c r="AL104" s="186"/>
      <c r="AM104" s="186"/>
      <c r="AN104" s="186"/>
      <c r="AO104" s="479"/>
      <c r="AP104" s="110"/>
      <c r="AQ104" s="465">
        <v>0</v>
      </c>
      <c r="AR104" s="465">
        <v>0</v>
      </c>
      <c r="AS104" s="465">
        <v>0</v>
      </c>
      <c r="AV104" s="566"/>
      <c r="AW104" s="31"/>
    </row>
    <row r="105" spans="1:49" ht="12.75" customHeight="1" x14ac:dyDescent="0.35">
      <c r="A105" s="108" t="s">
        <v>298</v>
      </c>
      <c r="B105" s="131"/>
      <c r="C105" s="276"/>
      <c r="D105" s="122"/>
      <c r="E105" s="149"/>
      <c r="F105" s="131"/>
      <c r="G105" s="276"/>
      <c r="H105" s="122"/>
      <c r="I105" s="149"/>
      <c r="J105" s="131"/>
      <c r="K105" s="276"/>
      <c r="L105" s="122"/>
      <c r="M105" s="149"/>
      <c r="N105" s="131"/>
      <c r="O105" s="276"/>
      <c r="P105" s="122"/>
      <c r="Q105" s="149"/>
      <c r="R105" s="131"/>
      <c r="S105" s="276"/>
      <c r="T105" s="122"/>
      <c r="U105" s="149"/>
      <c r="V105" s="131">
        <v>261210</v>
      </c>
      <c r="W105" s="276">
        <v>261303</v>
      </c>
      <c r="X105" s="276">
        <v>261095</v>
      </c>
      <c r="Y105" s="498"/>
      <c r="Z105" s="464">
        <v>260298</v>
      </c>
      <c r="AA105" s="131">
        <v>258954</v>
      </c>
      <c r="AB105" s="276">
        <v>258732</v>
      </c>
      <c r="AC105" s="122">
        <v>257717</v>
      </c>
      <c r="AD105" s="149">
        <v>256628</v>
      </c>
      <c r="AE105" s="131">
        <v>255018</v>
      </c>
      <c r="AF105" s="276">
        <v>253844</v>
      </c>
      <c r="AG105" s="122">
        <v>254310</v>
      </c>
      <c r="AH105" s="149">
        <v>254078</v>
      </c>
      <c r="AJ105" s="31"/>
      <c r="AK105" s="277"/>
      <c r="AL105" s="277"/>
      <c r="AM105" s="277"/>
      <c r="AN105" s="277"/>
      <c r="AO105" s="484"/>
      <c r="AP105" s="273"/>
      <c r="AQ105" s="491">
        <v>261370</v>
      </c>
      <c r="AR105" s="491">
        <v>257848</v>
      </c>
      <c r="AS105" s="491">
        <v>254331</v>
      </c>
      <c r="AV105" s="566"/>
      <c r="AW105" s="31"/>
    </row>
    <row r="106" spans="1:49" ht="12.75" customHeight="1" thickTop="1" x14ac:dyDescent="0.35">
      <c r="A106" s="108"/>
      <c r="B106" s="129"/>
      <c r="C106" s="324"/>
      <c r="D106" s="121"/>
      <c r="E106" s="146"/>
      <c r="F106" s="129"/>
      <c r="G106" s="324"/>
      <c r="H106" s="121"/>
      <c r="I106" s="146"/>
      <c r="J106" s="129"/>
      <c r="K106" s="324"/>
      <c r="L106" s="121"/>
      <c r="M106" s="146"/>
      <c r="N106" s="129"/>
      <c r="O106" s="324"/>
      <c r="P106" s="121"/>
      <c r="Q106" s="146"/>
      <c r="R106" s="129"/>
      <c r="S106" s="324"/>
      <c r="T106" s="121"/>
      <c r="U106" s="146"/>
      <c r="V106" s="129"/>
      <c r="W106" s="324"/>
      <c r="X106" s="327"/>
      <c r="Y106" s="499"/>
      <c r="Z106" s="461"/>
      <c r="AA106" s="129"/>
      <c r="AB106" s="324"/>
      <c r="AC106" s="121"/>
      <c r="AD106" s="146"/>
      <c r="AE106" s="129"/>
      <c r="AF106" s="324"/>
      <c r="AG106" s="121"/>
      <c r="AH106" s="146"/>
      <c r="AK106" s="183"/>
      <c r="AL106" s="183"/>
      <c r="AM106" s="183"/>
      <c r="AN106" s="183"/>
      <c r="AO106" s="476"/>
      <c r="AP106" s="273"/>
      <c r="AQ106" s="486"/>
      <c r="AR106" s="486"/>
      <c r="AS106" s="486"/>
      <c r="AV106" s="566"/>
      <c r="AW106" s="31"/>
    </row>
    <row r="107" spans="1:49" ht="12.75" customHeight="1" x14ac:dyDescent="0.35">
      <c r="A107" s="107" t="s">
        <v>299</v>
      </c>
      <c r="B107" s="279"/>
      <c r="C107" s="330"/>
      <c r="D107" s="278"/>
      <c r="E107" s="280"/>
      <c r="F107" s="279"/>
      <c r="G107" s="330"/>
      <c r="H107" s="278"/>
      <c r="I107" s="280"/>
      <c r="J107" s="279"/>
      <c r="K107" s="330"/>
      <c r="L107" s="278"/>
      <c r="M107" s="280"/>
      <c r="N107" s="279"/>
      <c r="O107" s="330"/>
      <c r="P107" s="278"/>
      <c r="Q107" s="280"/>
      <c r="R107" s="279"/>
      <c r="S107" s="330"/>
      <c r="T107" s="278"/>
      <c r="U107" s="280"/>
      <c r="V107" s="279">
        <v>2.35</v>
      </c>
      <c r="W107" s="278">
        <v>2.67</v>
      </c>
      <c r="X107" s="330">
        <v>3.01</v>
      </c>
      <c r="Y107" s="504"/>
      <c r="Z107" s="468">
        <v>2.68</v>
      </c>
      <c r="AA107" s="279">
        <v>2.4700000000000002</v>
      </c>
      <c r="AB107" s="278">
        <v>2.54</v>
      </c>
      <c r="AC107" s="278">
        <v>2.79</v>
      </c>
      <c r="AD107" s="280">
        <v>1.93</v>
      </c>
      <c r="AE107" s="279">
        <v>1.92</v>
      </c>
      <c r="AF107" s="330">
        <v>1.75</v>
      </c>
      <c r="AG107" s="278">
        <v>2.48</v>
      </c>
      <c r="AH107" s="280">
        <v>1.79</v>
      </c>
      <c r="AK107" s="281"/>
      <c r="AL107" s="281"/>
      <c r="AM107" s="281"/>
      <c r="AN107" s="281"/>
      <c r="AO107" s="485"/>
      <c r="AP107" s="519"/>
      <c r="AQ107" s="492">
        <v>10.7</v>
      </c>
      <c r="AR107" s="492">
        <v>9.73</v>
      </c>
      <c r="AS107" s="492">
        <v>7.95</v>
      </c>
      <c r="AV107" s="566"/>
      <c r="AW107" s="31"/>
    </row>
    <row r="108" spans="1:49" ht="12.75" customHeight="1" x14ac:dyDescent="0.35">
      <c r="A108" s="109" t="s">
        <v>3</v>
      </c>
      <c r="B108" s="279"/>
      <c r="C108" s="330"/>
      <c r="D108" s="278"/>
      <c r="E108" s="280"/>
      <c r="F108" s="279"/>
      <c r="G108" s="330"/>
      <c r="H108" s="278"/>
      <c r="I108" s="280"/>
      <c r="J108" s="279"/>
      <c r="K108" s="330"/>
      <c r="L108" s="278"/>
      <c r="M108" s="280"/>
      <c r="N108" s="453"/>
      <c r="O108" s="454"/>
      <c r="P108" s="455"/>
      <c r="Q108" s="456"/>
      <c r="R108" s="453"/>
      <c r="S108" s="454"/>
      <c r="T108" s="455"/>
      <c r="U108" s="456"/>
      <c r="V108" s="453">
        <v>-0.38</v>
      </c>
      <c r="W108" s="455">
        <v>-0.37</v>
      </c>
      <c r="X108" s="454">
        <v>-0.33</v>
      </c>
      <c r="Y108" s="505"/>
      <c r="Z108" s="469">
        <v>-0.3</v>
      </c>
      <c r="AA108" s="453">
        <v>-0.24</v>
      </c>
      <c r="AB108" s="455">
        <v>-0.16</v>
      </c>
      <c r="AC108" s="455">
        <v>-0.16</v>
      </c>
      <c r="AD108" s="456">
        <v>-0.15</v>
      </c>
      <c r="AE108" s="453">
        <v>-0.16</v>
      </c>
      <c r="AF108" s="454">
        <v>-0.12</v>
      </c>
      <c r="AG108" s="455">
        <v>-0.15</v>
      </c>
      <c r="AH108" s="456">
        <v>-0.16</v>
      </c>
      <c r="AK108" s="520"/>
      <c r="AL108" s="520"/>
      <c r="AM108" s="520"/>
      <c r="AN108" s="520"/>
      <c r="AO108" s="521"/>
      <c r="AP108" s="522"/>
      <c r="AQ108" s="523">
        <v>-1.36</v>
      </c>
      <c r="AR108" s="523">
        <v>-0.72</v>
      </c>
      <c r="AS108" s="523">
        <v>-0.59</v>
      </c>
      <c r="AV108" s="566"/>
      <c r="AW108" s="31"/>
    </row>
    <row r="109" spans="1:49" ht="12.75" customHeight="1" x14ac:dyDescent="0.35">
      <c r="A109" s="109" t="s">
        <v>6</v>
      </c>
      <c r="B109" s="279"/>
      <c r="C109" s="330"/>
      <c r="D109" s="278"/>
      <c r="E109" s="280"/>
      <c r="F109" s="279"/>
      <c r="G109" s="330"/>
      <c r="H109" s="278"/>
      <c r="I109" s="280"/>
      <c r="J109" s="279"/>
      <c r="K109" s="330"/>
      <c r="L109" s="278"/>
      <c r="M109" s="280"/>
      <c r="N109" s="453"/>
      <c r="O109" s="454"/>
      <c r="P109" s="455"/>
      <c r="Q109" s="456"/>
      <c r="R109" s="453"/>
      <c r="S109" s="454"/>
      <c r="T109" s="455"/>
      <c r="U109" s="456"/>
      <c r="V109" s="453">
        <v>-7.0000000000000007E-2</v>
      </c>
      <c r="W109" s="455">
        <v>0</v>
      </c>
      <c r="X109" s="454">
        <v>0.01</v>
      </c>
      <c r="Y109" s="505"/>
      <c r="Z109" s="469">
        <v>-0.32</v>
      </c>
      <c r="AA109" s="453">
        <v>-0.03</v>
      </c>
      <c r="AB109" s="455">
        <v>-0.02</v>
      </c>
      <c r="AC109" s="455">
        <v>0</v>
      </c>
      <c r="AD109" s="456">
        <v>-0.44</v>
      </c>
      <c r="AE109" s="453">
        <v>-0.05</v>
      </c>
      <c r="AF109" s="454">
        <v>-0.27</v>
      </c>
      <c r="AG109" s="455">
        <v>-0.01</v>
      </c>
      <c r="AH109" s="456">
        <v>-0.7</v>
      </c>
      <c r="AK109" s="520"/>
      <c r="AL109" s="520"/>
      <c r="AM109" s="520"/>
      <c r="AN109" s="520"/>
      <c r="AO109" s="521"/>
      <c r="AP109" s="522"/>
      <c r="AQ109" s="523">
        <v>-0.38</v>
      </c>
      <c r="AR109" s="523">
        <v>-0.48</v>
      </c>
      <c r="AS109" s="523">
        <v>-1.03</v>
      </c>
      <c r="AV109" s="566"/>
      <c r="AW109" s="31"/>
    </row>
    <row r="110" spans="1:49" ht="12.75" customHeight="1" x14ac:dyDescent="0.35">
      <c r="A110" s="109" t="s">
        <v>9</v>
      </c>
      <c r="B110" s="279"/>
      <c r="C110" s="330"/>
      <c r="D110" s="278"/>
      <c r="E110" s="280"/>
      <c r="F110" s="279"/>
      <c r="G110" s="330"/>
      <c r="H110" s="278"/>
      <c r="I110" s="280"/>
      <c r="J110" s="279"/>
      <c r="K110" s="330"/>
      <c r="L110" s="278"/>
      <c r="M110" s="280"/>
      <c r="N110" s="453"/>
      <c r="O110" s="454"/>
      <c r="P110" s="455"/>
      <c r="Q110" s="456"/>
      <c r="R110" s="453"/>
      <c r="S110" s="454"/>
      <c r="T110" s="455"/>
      <c r="U110" s="456"/>
      <c r="V110" s="453">
        <v>-0.38</v>
      </c>
      <c r="W110" s="455">
        <v>-0.39</v>
      </c>
      <c r="X110" s="454">
        <v>-0.4</v>
      </c>
      <c r="Y110" s="505"/>
      <c r="Z110" s="469">
        <v>-0.41</v>
      </c>
      <c r="AA110" s="453">
        <v>-0.44</v>
      </c>
      <c r="AB110" s="455">
        <v>-0.44</v>
      </c>
      <c r="AC110" s="455">
        <v>-0.45</v>
      </c>
      <c r="AD110" s="456">
        <v>-0.46</v>
      </c>
      <c r="AE110" s="453">
        <v>-0.5</v>
      </c>
      <c r="AF110" s="454">
        <v>-0.46</v>
      </c>
      <c r="AG110" s="455">
        <v>-0.47</v>
      </c>
      <c r="AH110" s="456">
        <v>-0.4</v>
      </c>
      <c r="AK110" s="520"/>
      <c r="AL110" s="520"/>
      <c r="AM110" s="520"/>
      <c r="AN110" s="520"/>
      <c r="AO110" s="521"/>
      <c r="AP110" s="522"/>
      <c r="AQ110" s="523">
        <v>-1.57</v>
      </c>
      <c r="AR110" s="523">
        <v>-1.79</v>
      </c>
      <c r="AS110" s="523">
        <v>-1.82</v>
      </c>
      <c r="AU110" s="494"/>
      <c r="AV110" s="566"/>
      <c r="AW110" s="31"/>
    </row>
    <row r="111" spans="1:49" ht="12.75" customHeight="1" x14ac:dyDescent="0.35">
      <c r="A111" s="109" t="s">
        <v>12</v>
      </c>
      <c r="B111" s="279"/>
      <c r="C111" s="330"/>
      <c r="D111" s="278"/>
      <c r="E111" s="280"/>
      <c r="F111" s="279"/>
      <c r="G111" s="330"/>
      <c r="H111" s="278"/>
      <c r="I111" s="280"/>
      <c r="J111" s="279"/>
      <c r="K111" s="330"/>
      <c r="L111" s="278"/>
      <c r="M111" s="280"/>
      <c r="N111" s="453"/>
      <c r="O111" s="454"/>
      <c r="P111" s="455"/>
      <c r="Q111" s="456"/>
      <c r="R111" s="453"/>
      <c r="S111" s="454"/>
      <c r="T111" s="455"/>
      <c r="U111" s="456"/>
      <c r="V111" s="453">
        <v>0</v>
      </c>
      <c r="W111" s="455">
        <v>0</v>
      </c>
      <c r="X111" s="454">
        <v>0</v>
      </c>
      <c r="Y111" s="505"/>
      <c r="Z111" s="469">
        <v>0</v>
      </c>
      <c r="AA111" s="453">
        <v>0</v>
      </c>
      <c r="AB111" s="455">
        <v>0</v>
      </c>
      <c r="AC111" s="455">
        <v>0</v>
      </c>
      <c r="AD111" s="456">
        <v>0</v>
      </c>
      <c r="AE111" s="453">
        <v>0</v>
      </c>
      <c r="AF111" s="454">
        <v>0</v>
      </c>
      <c r="AG111" s="455">
        <v>0</v>
      </c>
      <c r="AH111" s="456">
        <v>0</v>
      </c>
      <c r="AK111" s="520"/>
      <c r="AL111" s="520"/>
      <c r="AM111" s="520"/>
      <c r="AN111" s="520"/>
      <c r="AO111" s="521"/>
      <c r="AP111" s="522"/>
      <c r="AQ111" s="469">
        <v>0</v>
      </c>
      <c r="AR111" s="469">
        <v>0</v>
      </c>
      <c r="AS111" s="469">
        <v>0</v>
      </c>
      <c r="AV111" s="566"/>
      <c r="AW111" s="31"/>
    </row>
    <row r="112" spans="1:49" ht="12.75" customHeight="1" x14ac:dyDescent="0.35">
      <c r="A112" s="109" t="s">
        <v>15</v>
      </c>
      <c r="B112" s="279"/>
      <c r="C112" s="330"/>
      <c r="D112" s="278"/>
      <c r="E112" s="280"/>
      <c r="F112" s="279"/>
      <c r="G112" s="330"/>
      <c r="H112" s="278"/>
      <c r="I112" s="280"/>
      <c r="J112" s="279"/>
      <c r="K112" s="330"/>
      <c r="L112" s="278"/>
      <c r="M112" s="280"/>
      <c r="N112" s="453"/>
      <c r="O112" s="454"/>
      <c r="P112" s="455"/>
      <c r="Q112" s="456"/>
      <c r="R112" s="453"/>
      <c r="S112" s="454"/>
      <c r="T112" s="455"/>
      <c r="U112" s="456"/>
      <c r="V112" s="453">
        <v>-0.17</v>
      </c>
      <c r="W112" s="455">
        <v>-0.08</v>
      </c>
      <c r="X112" s="454">
        <v>-0.1</v>
      </c>
      <c r="Y112" s="505"/>
      <c r="Z112" s="469">
        <v>-0.17</v>
      </c>
      <c r="AA112" s="453">
        <v>-0.15</v>
      </c>
      <c r="AB112" s="455">
        <v>-0.06</v>
      </c>
      <c r="AC112" s="455">
        <v>-0.02</v>
      </c>
      <c r="AD112" s="456">
        <v>-0.47</v>
      </c>
      <c r="AE112" s="453">
        <v>0</v>
      </c>
      <c r="AF112" s="454">
        <v>-0.13</v>
      </c>
      <c r="AG112" s="455">
        <v>-0.08</v>
      </c>
      <c r="AH112" s="456">
        <v>-0.36</v>
      </c>
      <c r="AK112" s="520"/>
      <c r="AL112" s="520"/>
      <c r="AM112" s="520"/>
      <c r="AN112" s="520"/>
      <c r="AO112" s="521"/>
      <c r="AP112" s="522"/>
      <c r="AQ112" s="523">
        <v>-0.52</v>
      </c>
      <c r="AR112" s="523">
        <v>-0.7</v>
      </c>
      <c r="AS112" s="523">
        <v>-0.56000000000000005</v>
      </c>
      <c r="AV112" s="566"/>
      <c r="AW112" s="31"/>
    </row>
    <row r="113" spans="1:49" ht="12.75" customHeight="1" x14ac:dyDescent="0.35">
      <c r="A113" s="109" t="s">
        <v>259</v>
      </c>
      <c r="B113" s="279"/>
      <c r="C113" s="330"/>
      <c r="D113" s="278"/>
      <c r="E113" s="280"/>
      <c r="F113" s="279"/>
      <c r="G113" s="330"/>
      <c r="H113" s="278"/>
      <c r="I113" s="280"/>
      <c r="J113" s="279"/>
      <c r="K113" s="330"/>
      <c r="L113" s="278"/>
      <c r="M113" s="280"/>
      <c r="N113" s="453"/>
      <c r="O113" s="454"/>
      <c r="P113" s="455"/>
      <c r="Q113" s="456"/>
      <c r="R113" s="453"/>
      <c r="S113" s="454"/>
      <c r="T113" s="455"/>
      <c r="U113" s="456"/>
      <c r="V113" s="453"/>
      <c r="W113" s="455"/>
      <c r="X113" s="454"/>
      <c r="Y113" s="505"/>
      <c r="Z113" s="469"/>
      <c r="AA113" s="453"/>
      <c r="AB113" s="455"/>
      <c r="AC113" s="455"/>
      <c r="AD113" s="456"/>
      <c r="AE113" s="453"/>
      <c r="AF113" s="454"/>
      <c r="AG113" s="455"/>
      <c r="AH113" s="456"/>
      <c r="AK113" s="520"/>
      <c r="AL113" s="520"/>
      <c r="AM113" s="520"/>
      <c r="AN113" s="520"/>
      <c r="AO113" s="521"/>
      <c r="AP113" s="522"/>
      <c r="AQ113" s="523"/>
      <c r="AR113" s="523"/>
      <c r="AS113" s="523"/>
      <c r="AV113" s="566"/>
      <c r="AW113" s="31"/>
    </row>
    <row r="114" spans="1:49" ht="12.75" customHeight="1" x14ac:dyDescent="0.35">
      <c r="A114" s="109" t="s">
        <v>290</v>
      </c>
      <c r="B114" s="279"/>
      <c r="C114" s="330"/>
      <c r="D114" s="278"/>
      <c r="E114" s="280"/>
      <c r="F114" s="279"/>
      <c r="G114" s="330"/>
      <c r="H114" s="278"/>
      <c r="I114" s="280"/>
      <c r="J114" s="279"/>
      <c r="K114" s="330"/>
      <c r="L114" s="278"/>
      <c r="M114" s="280"/>
      <c r="N114" s="453"/>
      <c r="O114" s="454"/>
      <c r="P114" s="455"/>
      <c r="Q114" s="456"/>
      <c r="R114" s="453"/>
      <c r="S114" s="454"/>
      <c r="T114" s="455"/>
      <c r="U114" s="456"/>
      <c r="V114" s="453">
        <v>-0.01</v>
      </c>
      <c r="W114" s="455">
        <v>-0.01</v>
      </c>
      <c r="X114" s="454">
        <v>-0.01</v>
      </c>
      <c r="Y114" s="505"/>
      <c r="Z114" s="469">
        <v>-0.02</v>
      </c>
      <c r="AA114" s="453">
        <v>0</v>
      </c>
      <c r="AB114" s="455">
        <v>-0.01</v>
      </c>
      <c r="AC114" s="455">
        <v>-0.01</v>
      </c>
      <c r="AD114" s="456">
        <v>0.01</v>
      </c>
      <c r="AE114" s="453">
        <v>-0.01</v>
      </c>
      <c r="AF114" s="454">
        <v>-0.03</v>
      </c>
      <c r="AG114" s="455">
        <v>-0.02</v>
      </c>
      <c r="AH114" s="456">
        <v>-0.02</v>
      </c>
      <c r="AK114" s="520"/>
      <c r="AL114" s="520"/>
      <c r="AM114" s="520"/>
      <c r="AN114" s="520"/>
      <c r="AO114" s="521"/>
      <c r="AP114" s="522"/>
      <c r="AQ114" s="523">
        <v>-0.06</v>
      </c>
      <c r="AR114" s="523">
        <v>-0.01</v>
      </c>
      <c r="AS114" s="523">
        <v>-0.08</v>
      </c>
      <c r="AV114" s="566"/>
      <c r="AW114" s="31"/>
    </row>
    <row r="115" spans="1:49" ht="12.75" hidden="1" customHeight="1" x14ac:dyDescent="0.35">
      <c r="A115" s="109" t="s">
        <v>291</v>
      </c>
      <c r="B115" s="279"/>
      <c r="C115" s="330"/>
      <c r="D115" s="278"/>
      <c r="E115" s="280"/>
      <c r="F115" s="279"/>
      <c r="G115" s="330"/>
      <c r="H115" s="278"/>
      <c r="I115" s="280"/>
      <c r="J115" s="279"/>
      <c r="K115" s="330"/>
      <c r="L115" s="278"/>
      <c r="M115" s="280"/>
      <c r="N115" s="453"/>
      <c r="O115" s="454"/>
      <c r="P115" s="455"/>
      <c r="Q115" s="456"/>
      <c r="R115" s="453"/>
      <c r="S115" s="454"/>
      <c r="T115" s="455"/>
      <c r="U115" s="456"/>
      <c r="V115" s="453"/>
      <c r="W115" s="455"/>
      <c r="X115" s="454"/>
      <c r="Y115" s="505"/>
      <c r="Z115" s="469"/>
      <c r="AA115" s="453"/>
      <c r="AB115" s="455"/>
      <c r="AC115" s="455"/>
      <c r="AD115" s="456"/>
      <c r="AE115" s="453"/>
      <c r="AF115" s="454"/>
      <c r="AG115" s="455">
        <v>0</v>
      </c>
      <c r="AH115" s="456">
        <v>0</v>
      </c>
      <c r="AK115" s="520"/>
      <c r="AL115" s="520"/>
      <c r="AM115" s="520"/>
      <c r="AN115" s="520"/>
      <c r="AO115" s="521"/>
      <c r="AP115" s="522"/>
      <c r="AQ115" s="523"/>
      <c r="AR115" s="523"/>
      <c r="AS115" s="523">
        <v>0</v>
      </c>
      <c r="AV115" s="566"/>
      <c r="AW115" s="31"/>
    </row>
    <row r="116" spans="1:49" ht="12.75" customHeight="1" x14ac:dyDescent="0.35">
      <c r="A116" s="109" t="s">
        <v>292</v>
      </c>
      <c r="B116" s="279"/>
      <c r="C116" s="330"/>
      <c r="D116" s="278"/>
      <c r="E116" s="280"/>
      <c r="F116" s="279"/>
      <c r="G116" s="330"/>
      <c r="H116" s="278"/>
      <c r="I116" s="280"/>
      <c r="J116" s="279"/>
      <c r="K116" s="330"/>
      <c r="L116" s="278"/>
      <c r="M116" s="280"/>
      <c r="N116" s="453"/>
      <c r="O116" s="454"/>
      <c r="P116" s="455"/>
      <c r="Q116" s="456"/>
      <c r="R116" s="453"/>
      <c r="S116" s="454"/>
      <c r="T116" s="455"/>
      <c r="U116" s="456"/>
      <c r="V116" s="453">
        <v>-0.01</v>
      </c>
      <c r="W116" s="455">
        <v>0.01</v>
      </c>
      <c r="X116" s="454">
        <v>-0.02</v>
      </c>
      <c r="Y116" s="505"/>
      <c r="Z116" s="469">
        <v>-0.01</v>
      </c>
      <c r="AA116" s="453">
        <v>-0.02</v>
      </c>
      <c r="AB116" s="455">
        <v>-0.02</v>
      </c>
      <c r="AC116" s="455">
        <v>-0.04</v>
      </c>
      <c r="AD116" s="456">
        <v>-0.08</v>
      </c>
      <c r="AE116" s="453">
        <v>-0.04</v>
      </c>
      <c r="AF116" s="454">
        <v>0.03</v>
      </c>
      <c r="AG116" s="455">
        <v>0</v>
      </c>
      <c r="AH116" s="456">
        <v>-0.01</v>
      </c>
      <c r="AK116" s="520"/>
      <c r="AL116" s="520"/>
      <c r="AM116" s="520"/>
      <c r="AN116" s="520"/>
      <c r="AO116" s="521"/>
      <c r="AP116" s="522"/>
      <c r="AQ116" s="523">
        <v>-0.04</v>
      </c>
      <c r="AR116" s="523">
        <v>-0.16</v>
      </c>
      <c r="AS116" s="523">
        <v>-0.03</v>
      </c>
      <c r="AV116" s="566"/>
      <c r="AW116" s="31"/>
    </row>
    <row r="117" spans="1:49" ht="12.75" customHeight="1" x14ac:dyDescent="0.35">
      <c r="A117" s="109" t="s">
        <v>293</v>
      </c>
      <c r="B117" s="279"/>
      <c r="C117" s="330"/>
      <c r="D117" s="278"/>
      <c r="E117" s="280"/>
      <c r="F117" s="279"/>
      <c r="G117" s="330"/>
      <c r="H117" s="278"/>
      <c r="I117" s="280"/>
      <c r="J117" s="279"/>
      <c r="K117" s="330"/>
      <c r="L117" s="278"/>
      <c r="M117" s="280"/>
      <c r="N117" s="453"/>
      <c r="O117" s="454"/>
      <c r="P117" s="455"/>
      <c r="Q117" s="456"/>
      <c r="R117" s="453"/>
      <c r="S117" s="454"/>
      <c r="T117" s="455"/>
      <c r="U117" s="456"/>
      <c r="V117" s="453">
        <v>0.19</v>
      </c>
      <c r="W117" s="455">
        <v>0.08</v>
      </c>
      <c r="X117" s="454">
        <v>0.17</v>
      </c>
      <c r="Y117" s="505"/>
      <c r="Z117" s="469">
        <v>0.21</v>
      </c>
      <c r="AA117" s="453">
        <v>0.11</v>
      </c>
      <c r="AB117" s="455">
        <v>0.06</v>
      </c>
      <c r="AC117" s="455">
        <v>0.04</v>
      </c>
      <c r="AD117" s="456">
        <v>0.34</v>
      </c>
      <c r="AE117" s="453">
        <v>0.05</v>
      </c>
      <c r="AF117" s="454">
        <v>0.12</v>
      </c>
      <c r="AG117" s="455">
        <v>0.1</v>
      </c>
      <c r="AH117" s="456">
        <v>0.23</v>
      </c>
      <c r="AK117" s="520"/>
      <c r="AL117" s="520"/>
      <c r="AM117" s="520"/>
      <c r="AN117" s="520"/>
      <c r="AO117" s="521"/>
      <c r="AP117" s="522"/>
      <c r="AQ117" s="523">
        <v>0.65</v>
      </c>
      <c r="AR117" s="523">
        <v>0.55000000000000004</v>
      </c>
      <c r="AS117" s="523">
        <v>0.51</v>
      </c>
      <c r="AV117" s="566"/>
      <c r="AW117" s="31"/>
    </row>
    <row r="118" spans="1:49" ht="12.75" customHeight="1" x14ac:dyDescent="0.35">
      <c r="A118" s="109" t="s">
        <v>294</v>
      </c>
      <c r="B118" s="279"/>
      <c r="C118" s="330"/>
      <c r="D118" s="278"/>
      <c r="E118" s="280"/>
      <c r="F118" s="279"/>
      <c r="G118" s="330"/>
      <c r="H118" s="278"/>
      <c r="I118" s="280"/>
      <c r="J118" s="279"/>
      <c r="K118" s="330"/>
      <c r="L118" s="278"/>
      <c r="M118" s="280"/>
      <c r="N118" s="453"/>
      <c r="O118" s="454"/>
      <c r="P118" s="455"/>
      <c r="Q118" s="456"/>
      <c r="R118" s="453"/>
      <c r="S118" s="454"/>
      <c r="T118" s="455"/>
      <c r="U118" s="456"/>
      <c r="V118" s="457">
        <v>-0.01</v>
      </c>
      <c r="W118" s="458">
        <v>0</v>
      </c>
      <c r="X118" s="459">
        <v>-0.01</v>
      </c>
      <c r="Y118" s="505"/>
      <c r="Z118" s="470">
        <v>-0.01</v>
      </c>
      <c r="AA118" s="457">
        <v>0</v>
      </c>
      <c r="AB118" s="458">
        <v>-0.01</v>
      </c>
      <c r="AC118" s="458">
        <v>-0.02</v>
      </c>
      <c r="AD118" s="470">
        <v>0</v>
      </c>
      <c r="AE118" s="457">
        <v>-0.01</v>
      </c>
      <c r="AF118" s="458">
        <v>-0.11</v>
      </c>
      <c r="AG118" s="458">
        <v>0</v>
      </c>
      <c r="AH118" s="470">
        <v>-0.14000000000000001</v>
      </c>
      <c r="AK118" s="520"/>
      <c r="AL118" s="520"/>
      <c r="AM118" s="520"/>
      <c r="AN118" s="520"/>
      <c r="AO118" s="521"/>
      <c r="AP118" s="522"/>
      <c r="AQ118" s="524">
        <v>-0.03</v>
      </c>
      <c r="AR118" s="524">
        <v>-0.05</v>
      </c>
      <c r="AS118" s="524">
        <v>-0.26</v>
      </c>
      <c r="AV118" s="566"/>
      <c r="AW118" s="31"/>
    </row>
    <row r="119" spans="1:49" ht="24" customHeight="1" x14ac:dyDescent="0.35">
      <c r="A119" s="107" t="s">
        <v>300</v>
      </c>
      <c r="B119" s="279"/>
      <c r="C119" s="330"/>
      <c r="D119" s="278"/>
      <c r="E119" s="280"/>
      <c r="F119" s="279"/>
      <c r="G119" s="330"/>
      <c r="H119" s="278"/>
      <c r="I119" s="280"/>
      <c r="J119" s="279"/>
      <c r="K119" s="330"/>
      <c r="L119" s="278"/>
      <c r="M119" s="280"/>
      <c r="N119" s="279"/>
      <c r="O119" s="330"/>
      <c r="P119" s="278"/>
      <c r="Q119" s="280"/>
      <c r="R119" s="279"/>
      <c r="S119" s="330"/>
      <c r="T119" s="278"/>
      <c r="U119" s="280"/>
      <c r="V119" s="279">
        <v>3.19</v>
      </c>
      <c r="W119" s="278">
        <v>3.43</v>
      </c>
      <c r="X119" s="330">
        <v>3.7</v>
      </c>
      <c r="Y119" s="504"/>
      <c r="Z119" s="468">
        <v>3.71</v>
      </c>
      <c r="AA119" s="279">
        <v>3.24</v>
      </c>
      <c r="AB119" s="278">
        <v>3.2</v>
      </c>
      <c r="AC119" s="278">
        <v>3.45</v>
      </c>
      <c r="AD119" s="280">
        <v>3.18</v>
      </c>
      <c r="AE119" s="279">
        <v>2.64</v>
      </c>
      <c r="AF119" s="330">
        <v>2.72</v>
      </c>
      <c r="AG119" s="278">
        <v>3.11</v>
      </c>
      <c r="AH119" s="280">
        <v>3.35</v>
      </c>
      <c r="AK119" s="281"/>
      <c r="AL119" s="281"/>
      <c r="AM119" s="281"/>
      <c r="AN119" s="281"/>
      <c r="AO119" s="485"/>
      <c r="AP119" s="519"/>
      <c r="AQ119" s="492">
        <v>14.01</v>
      </c>
      <c r="AR119" s="492">
        <v>13.09</v>
      </c>
      <c r="AS119" s="492">
        <v>11.81</v>
      </c>
      <c r="AV119" s="566"/>
      <c r="AW119" s="31"/>
    </row>
    <row r="120" spans="1:49" ht="12.75" customHeight="1" thickBot="1" x14ac:dyDescent="0.4">
      <c r="A120" s="74"/>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496"/>
      <c r="Z120" s="74"/>
      <c r="AA120" s="74"/>
      <c r="AB120" s="74"/>
      <c r="AC120" s="74"/>
      <c r="AD120" s="74"/>
      <c r="AE120" s="74"/>
      <c r="AF120" s="74"/>
      <c r="AG120" s="74"/>
      <c r="AH120" s="74"/>
      <c r="AK120" s="74"/>
      <c r="AL120" s="74"/>
      <c r="AM120" s="74"/>
      <c r="AN120" s="74"/>
      <c r="AO120" s="74"/>
      <c r="AQ120" s="74"/>
      <c r="AR120" s="74"/>
      <c r="AS120" s="74"/>
      <c r="AV120" s="566"/>
      <c r="AW120" s="31"/>
    </row>
    <row r="121" spans="1:49" x14ac:dyDescent="0.35">
      <c r="AV121" s="566"/>
      <c r="AW121" s="31"/>
    </row>
    <row r="122" spans="1:49" ht="15.4" thickBot="1" x14ac:dyDescent="0.4">
      <c r="A122" s="254"/>
      <c r="B122" s="254"/>
      <c r="C122" s="254"/>
      <c r="D122" s="254"/>
      <c r="E122" s="254"/>
      <c r="F122" s="254"/>
      <c r="G122" s="254"/>
      <c r="H122" s="254"/>
      <c r="I122" s="254"/>
      <c r="J122" s="254"/>
      <c r="K122" s="254"/>
      <c r="L122" s="254"/>
      <c r="M122" s="254"/>
      <c r="N122" s="254"/>
      <c r="O122" s="254"/>
      <c r="P122" s="254"/>
      <c r="Q122" s="254"/>
      <c r="R122" s="254"/>
      <c r="S122" s="254"/>
      <c r="T122" s="254"/>
      <c r="U122" s="254"/>
      <c r="V122" s="254"/>
      <c r="W122" s="254"/>
      <c r="X122" s="254"/>
      <c r="Y122" s="254"/>
      <c r="Z122" s="244"/>
      <c r="AA122" s="244"/>
      <c r="AB122" s="244"/>
      <c r="AC122" s="244"/>
      <c r="AD122" s="244"/>
      <c r="AE122" s="244"/>
      <c r="AF122" s="244"/>
      <c r="AG122" s="244"/>
      <c r="AH122" s="244"/>
      <c r="AI122" s="244"/>
      <c r="AV122" s="566"/>
      <c r="AW122" s="31"/>
    </row>
    <row r="123" spans="1:49" ht="15.4" thickBot="1" x14ac:dyDescent="0.4">
      <c r="A123" s="8" t="s">
        <v>46</v>
      </c>
      <c r="B123" s="254"/>
      <c r="C123" s="254"/>
      <c r="D123" s="254"/>
      <c r="E123" s="254"/>
      <c r="F123" s="254"/>
      <c r="G123" s="254"/>
      <c r="H123" s="254"/>
      <c r="I123" s="254"/>
      <c r="J123" s="254"/>
      <c r="K123" s="254"/>
      <c r="L123" s="254"/>
      <c r="M123" s="254"/>
      <c r="N123" s="555"/>
      <c r="O123" s="254"/>
      <c r="P123" s="254"/>
      <c r="Q123" s="254"/>
      <c r="R123" s="254"/>
      <c r="S123" s="254"/>
      <c r="T123" s="254"/>
      <c r="U123" s="254"/>
      <c r="V123" s="493"/>
      <c r="W123" s="160" t="s">
        <v>68</v>
      </c>
      <c r="X123" s="160" t="s">
        <v>69</v>
      </c>
      <c r="Z123" s="73" t="s">
        <v>70</v>
      </c>
      <c r="AA123" s="73" t="s">
        <v>71</v>
      </c>
      <c r="AB123" s="160" t="s">
        <v>72</v>
      </c>
      <c r="AC123" s="160" t="s">
        <v>73</v>
      </c>
      <c r="AD123" s="73" t="s">
        <v>74</v>
      </c>
      <c r="AE123" s="73" t="s">
        <v>75</v>
      </c>
      <c r="AF123" s="160" t="s">
        <v>76</v>
      </c>
      <c r="AG123" s="160" t="s">
        <v>77</v>
      </c>
      <c r="AH123" s="73" t="s">
        <v>78</v>
      </c>
      <c r="AI123" s="244"/>
      <c r="AQ123" s="460">
        <v>2023</v>
      </c>
      <c r="AR123" s="460">
        <v>2024</v>
      </c>
      <c r="AS123" s="460">
        <v>2025</v>
      </c>
      <c r="AV123" s="566"/>
      <c r="AW123" s="31"/>
    </row>
    <row r="124" spans="1:49" ht="15" x14ac:dyDescent="0.35">
      <c r="B124" s="254"/>
      <c r="C124" s="254"/>
      <c r="D124" s="254"/>
      <c r="E124" s="254"/>
      <c r="F124" s="254"/>
      <c r="G124" s="254"/>
      <c r="H124" s="254"/>
      <c r="I124" s="254"/>
      <c r="J124" s="254"/>
      <c r="K124" s="254"/>
      <c r="L124" s="254"/>
      <c r="M124" s="254"/>
      <c r="N124" s="254"/>
      <c r="O124" s="254"/>
      <c r="P124" s="254"/>
      <c r="Q124" s="254"/>
      <c r="R124" s="254"/>
      <c r="S124" s="254"/>
      <c r="T124" s="254"/>
      <c r="U124" s="254"/>
      <c r="V124" s="493"/>
      <c r="W124" s="117"/>
      <c r="X124" s="117"/>
      <c r="Y124" s="254"/>
      <c r="Z124" s="142"/>
      <c r="AA124" s="125"/>
      <c r="AB124" s="117"/>
      <c r="AC124" s="117"/>
      <c r="AD124" s="142"/>
      <c r="AE124" s="125"/>
      <c r="AF124" s="117"/>
      <c r="AG124" s="117"/>
      <c r="AH124" s="117"/>
      <c r="AI124" s="244"/>
      <c r="AQ124" s="38"/>
      <c r="AR124" s="38"/>
      <c r="AS124" s="38"/>
      <c r="AV124" s="566"/>
      <c r="AW124" s="31"/>
    </row>
    <row r="125" spans="1:49" ht="15" x14ac:dyDescent="0.35">
      <c r="A125" s="107" t="s">
        <v>301</v>
      </c>
      <c r="V125" s="493"/>
      <c r="W125" s="118">
        <v>-74</v>
      </c>
      <c r="X125" s="118">
        <v>-75</v>
      </c>
      <c r="Z125" s="143">
        <v>-78</v>
      </c>
      <c r="AA125" s="126">
        <v>-70</v>
      </c>
      <c r="AB125" s="118">
        <v>-75</v>
      </c>
      <c r="AC125" s="118">
        <v>-82</v>
      </c>
      <c r="AD125" s="143">
        <v>-91</v>
      </c>
      <c r="AE125" s="126">
        <v>-92</v>
      </c>
      <c r="AF125" s="118">
        <v>-86</v>
      </c>
      <c r="AG125" s="118">
        <v>-98</v>
      </c>
      <c r="AH125" s="118">
        <v>-108</v>
      </c>
      <c r="AQ125" s="114">
        <v>-309</v>
      </c>
      <c r="AR125" s="114">
        <v>-318</v>
      </c>
      <c r="AS125" s="114">
        <f>AE125+AF125+AG125+AH125</f>
        <v>-384</v>
      </c>
      <c r="AV125" s="566"/>
      <c r="AW125" s="31"/>
    </row>
    <row r="126" spans="1:49" ht="15" x14ac:dyDescent="0.35">
      <c r="A126" s="109" t="s">
        <v>302</v>
      </c>
      <c r="V126" s="493"/>
      <c r="W126" s="119">
        <v>-3</v>
      </c>
      <c r="X126" s="119">
        <v>-3</v>
      </c>
      <c r="Z126" s="144">
        <v>-6</v>
      </c>
      <c r="AA126" s="127">
        <v>-1</v>
      </c>
      <c r="AB126" s="119">
        <v>-2</v>
      </c>
      <c r="AC126" s="119">
        <v>-3</v>
      </c>
      <c r="AD126" s="144">
        <v>3</v>
      </c>
      <c r="AE126" s="127">
        <v>-3</v>
      </c>
      <c r="AF126" s="119">
        <v>-7</v>
      </c>
      <c r="AG126" s="119">
        <v>-6</v>
      </c>
      <c r="AH126" s="119">
        <v>-6</v>
      </c>
      <c r="AQ126" s="115">
        <v>-15</v>
      </c>
      <c r="AR126" s="115">
        <v>-3</v>
      </c>
      <c r="AS126" s="115">
        <f>AE126+AF126+AG126+AH126</f>
        <v>-22</v>
      </c>
      <c r="AV126" s="566"/>
      <c r="AW126" s="31"/>
    </row>
    <row r="127" spans="1:49" ht="15" x14ac:dyDescent="0.35">
      <c r="A127" s="109" t="s">
        <v>279</v>
      </c>
      <c r="V127" s="493"/>
      <c r="W127" s="119">
        <v>2</v>
      </c>
      <c r="X127" s="119">
        <v>-7</v>
      </c>
      <c r="Z127" s="144">
        <v>-3</v>
      </c>
      <c r="AA127" s="127">
        <v>-5</v>
      </c>
      <c r="AB127" s="119">
        <v>-6</v>
      </c>
      <c r="AC127" s="119">
        <v>-9</v>
      </c>
      <c r="AD127" s="115">
        <v>-20</v>
      </c>
      <c r="AE127" s="127">
        <v>-9</v>
      </c>
      <c r="AF127" s="119">
        <v>6</v>
      </c>
      <c r="AG127" s="119">
        <v>-1</v>
      </c>
      <c r="AH127" s="119">
        <v>-3</v>
      </c>
      <c r="AQ127" s="115">
        <v>-11</v>
      </c>
      <c r="AR127" s="115">
        <v>-40</v>
      </c>
      <c r="AS127" s="115">
        <f t="shared" ref="AS127:AS128" si="59">AE127+AF127+AG127+AH127</f>
        <v>-7</v>
      </c>
      <c r="AV127" s="566"/>
      <c r="AW127" s="31"/>
    </row>
    <row r="128" spans="1:49" ht="13.15" thickBot="1" x14ac:dyDescent="0.4">
      <c r="A128" s="107" t="s">
        <v>280</v>
      </c>
      <c r="W128" s="120">
        <v>-73</v>
      </c>
      <c r="X128" s="120">
        <v>-65</v>
      </c>
      <c r="Z128" s="145">
        <v>-69</v>
      </c>
      <c r="AA128" s="128">
        <v>-64</v>
      </c>
      <c r="AB128" s="120">
        <v>-67</v>
      </c>
      <c r="AC128" s="120">
        <v>-70</v>
      </c>
      <c r="AD128" s="145">
        <v>-74</v>
      </c>
      <c r="AE128" s="128">
        <v>-80</v>
      </c>
      <c r="AF128" s="120">
        <v>-85</v>
      </c>
      <c r="AG128" s="120">
        <v>-91</v>
      </c>
      <c r="AH128" s="120">
        <v>-99</v>
      </c>
      <c r="AQ128" s="116">
        <v>-283</v>
      </c>
      <c r="AR128" s="116">
        <v>-275</v>
      </c>
      <c r="AS128" s="116">
        <f t="shared" si="59"/>
        <v>-355</v>
      </c>
      <c r="AV128" s="566"/>
      <c r="AW128" s="31"/>
    </row>
    <row r="129" spans="1:49" ht="13.5" thickTop="1" thickBot="1" x14ac:dyDescent="0.4">
      <c r="A129" s="107"/>
      <c r="W129" s="274"/>
      <c r="X129" s="274"/>
      <c r="Z129" s="274"/>
      <c r="AA129" s="274"/>
      <c r="AB129" s="274"/>
      <c r="AC129" s="274"/>
      <c r="AD129" s="274"/>
      <c r="AE129" s="274"/>
      <c r="AF129" s="274"/>
      <c r="AG129" s="274"/>
      <c r="AH129" s="274"/>
      <c r="AQ129" s="274"/>
      <c r="AR129" s="274"/>
      <c r="AS129" s="274"/>
      <c r="AV129" s="566"/>
      <c r="AW129" s="31"/>
    </row>
    <row r="130" spans="1:49" ht="13.5" thickBot="1" x14ac:dyDescent="0.4">
      <c r="A130" s="8" t="s">
        <v>46</v>
      </c>
      <c r="W130" s="160" t="s">
        <v>68</v>
      </c>
      <c r="X130" s="160" t="s">
        <v>69</v>
      </c>
      <c r="Z130" s="73" t="s">
        <v>70</v>
      </c>
      <c r="AA130" s="73" t="s">
        <v>71</v>
      </c>
      <c r="AB130" s="160" t="s">
        <v>72</v>
      </c>
      <c r="AC130" s="160" t="s">
        <v>73</v>
      </c>
      <c r="AD130" s="73" t="s">
        <v>74</v>
      </c>
      <c r="AE130" s="73" t="s">
        <v>75</v>
      </c>
      <c r="AF130" s="160" t="s">
        <v>76</v>
      </c>
      <c r="AG130" s="160" t="s">
        <v>77</v>
      </c>
      <c r="AH130" s="160" t="s">
        <v>78</v>
      </c>
      <c r="AQ130" s="460">
        <v>2023</v>
      </c>
      <c r="AR130" s="460">
        <v>2024</v>
      </c>
      <c r="AS130" s="460">
        <v>2025</v>
      </c>
      <c r="AV130" s="566"/>
      <c r="AW130" s="31"/>
    </row>
    <row r="131" spans="1:49" x14ac:dyDescent="0.35">
      <c r="V131" s="494"/>
      <c r="W131" s="117"/>
      <c r="X131" s="117"/>
      <c r="Y131" s="494"/>
      <c r="Z131" s="142"/>
      <c r="AA131" s="125"/>
      <c r="AB131" s="117"/>
      <c r="AC131" s="117"/>
      <c r="AD131" s="142"/>
      <c r="AE131" s="125"/>
      <c r="AF131" s="117"/>
      <c r="AG131" s="117"/>
      <c r="AH131" s="117"/>
      <c r="AQ131" s="38"/>
      <c r="AR131" s="38"/>
      <c r="AS131" s="38"/>
      <c r="AV131" s="566"/>
      <c r="AW131" s="31"/>
    </row>
    <row r="132" spans="1:49" x14ac:dyDescent="0.35">
      <c r="A132" s="107" t="s">
        <v>303</v>
      </c>
      <c r="V132" s="348"/>
      <c r="W132" s="118">
        <v>-4</v>
      </c>
      <c r="X132" s="118">
        <v>-7</v>
      </c>
      <c r="Y132" s="348"/>
      <c r="Z132" s="143">
        <v>-5</v>
      </c>
      <c r="AA132" s="126">
        <v>-6</v>
      </c>
      <c r="AB132" s="118">
        <v>-4</v>
      </c>
      <c r="AC132" s="118">
        <v>-5</v>
      </c>
      <c r="AD132" s="143">
        <v>-40</v>
      </c>
      <c r="AE132" s="126">
        <v>18</v>
      </c>
      <c r="AF132" s="118">
        <v>1</v>
      </c>
      <c r="AG132" s="118">
        <v>-2</v>
      </c>
      <c r="AH132" s="118">
        <v>-5</v>
      </c>
      <c r="AQ132" s="114">
        <v>-15</v>
      </c>
      <c r="AR132" s="114">
        <v>-55</v>
      </c>
      <c r="AS132" s="114">
        <f t="shared" ref="AS132:AS135" si="60">AE132+AF132+AG132+AH132</f>
        <v>12</v>
      </c>
      <c r="AV132" s="566"/>
      <c r="AW132" s="31"/>
    </row>
    <row r="133" spans="1:49" x14ac:dyDescent="0.35">
      <c r="A133" s="109" t="s">
        <v>304</v>
      </c>
      <c r="V133" s="494"/>
      <c r="W133" s="119">
        <v>0</v>
      </c>
      <c r="X133" s="119">
        <v>0</v>
      </c>
      <c r="Y133" s="494"/>
      <c r="Z133" s="144">
        <v>0</v>
      </c>
      <c r="AA133" s="127">
        <v>0</v>
      </c>
      <c r="AB133" s="119">
        <v>0</v>
      </c>
      <c r="AC133" s="119">
        <v>0</v>
      </c>
      <c r="AD133" s="144">
        <v>0</v>
      </c>
      <c r="AE133" s="127">
        <v>-5</v>
      </c>
      <c r="AF133" s="119">
        <v>0</v>
      </c>
      <c r="AG133" s="119">
        <v>0</v>
      </c>
      <c r="AH133" s="119">
        <v>0</v>
      </c>
      <c r="AQ133" s="115">
        <v>0</v>
      </c>
      <c r="AR133" s="115">
        <v>0</v>
      </c>
      <c r="AS133" s="115">
        <f t="shared" si="60"/>
        <v>-5</v>
      </c>
      <c r="AV133" s="566"/>
      <c r="AW133" s="31"/>
    </row>
    <row r="134" spans="1:49" x14ac:dyDescent="0.35">
      <c r="A134" s="109" t="s">
        <v>15</v>
      </c>
      <c r="W134" s="119">
        <v>-2</v>
      </c>
      <c r="X134" s="119">
        <v>-3</v>
      </c>
      <c r="Z134" s="144">
        <v>-5</v>
      </c>
      <c r="AA134" s="127">
        <v>-4</v>
      </c>
      <c r="AB134" s="119">
        <v>-2</v>
      </c>
      <c r="AC134" s="119">
        <v>-4</v>
      </c>
      <c r="AD134" s="115">
        <v>-41</v>
      </c>
      <c r="AE134" s="127">
        <v>24</v>
      </c>
      <c r="AF134" s="119">
        <v>-2</v>
      </c>
      <c r="AG134" s="119">
        <v>-1</v>
      </c>
      <c r="AH134" s="119">
        <v>-2</v>
      </c>
      <c r="AQ134" s="115">
        <v>-8</v>
      </c>
      <c r="AR134" s="115">
        <v>-51</v>
      </c>
      <c r="AS134" s="115">
        <f t="shared" si="60"/>
        <v>19</v>
      </c>
      <c r="AV134" s="566"/>
      <c r="AW134" s="31"/>
    </row>
    <row r="135" spans="1:49" ht="13.15" thickBot="1" x14ac:dyDescent="0.4">
      <c r="A135" s="107" t="s">
        <v>305</v>
      </c>
      <c r="W135" s="120">
        <v>-2</v>
      </c>
      <c r="X135" s="120">
        <v>-4</v>
      </c>
      <c r="Z135" s="145">
        <v>0</v>
      </c>
      <c r="AA135" s="128">
        <v>-2</v>
      </c>
      <c r="AB135" s="120">
        <v>-2</v>
      </c>
      <c r="AC135" s="120">
        <v>-1</v>
      </c>
      <c r="AD135" s="145">
        <v>1</v>
      </c>
      <c r="AE135" s="128">
        <v>-1</v>
      </c>
      <c r="AF135" s="120">
        <v>3</v>
      </c>
      <c r="AG135" s="120">
        <v>-1</v>
      </c>
      <c r="AH135" s="120">
        <v>-3</v>
      </c>
      <c r="AQ135" s="116">
        <v>-7</v>
      </c>
      <c r="AR135" s="116">
        <v>-4</v>
      </c>
      <c r="AS135" s="116">
        <f t="shared" si="60"/>
        <v>-2</v>
      </c>
      <c r="AV135" s="566"/>
      <c r="AW135" s="31"/>
    </row>
    <row r="136" spans="1:49" ht="13.5" thickTop="1" thickBot="1" x14ac:dyDescent="0.4">
      <c r="A136" s="107"/>
      <c r="AV136" s="566"/>
      <c r="AW136" s="31"/>
    </row>
    <row r="137" spans="1:49" ht="13.5" thickBot="1" x14ac:dyDescent="0.45">
      <c r="A137" s="8" t="s">
        <v>46</v>
      </c>
      <c r="W137" s="556" t="s">
        <v>68</v>
      </c>
      <c r="X137" s="556" t="s">
        <v>69</v>
      </c>
      <c r="Z137" s="557" t="s">
        <v>70</v>
      </c>
      <c r="AA137" s="557" t="s">
        <v>71</v>
      </c>
      <c r="AB137" s="556" t="s">
        <v>72</v>
      </c>
      <c r="AC137" s="556" t="s">
        <v>73</v>
      </c>
      <c r="AD137" s="557" t="s">
        <v>74</v>
      </c>
      <c r="AE137" s="557" t="s">
        <v>75</v>
      </c>
      <c r="AF137" s="556" t="s">
        <v>76</v>
      </c>
      <c r="AG137" s="556" t="s">
        <v>77</v>
      </c>
      <c r="AH137" s="556" t="s">
        <v>78</v>
      </c>
      <c r="AQ137" s="460">
        <v>2023</v>
      </c>
      <c r="AR137" s="460">
        <v>2024</v>
      </c>
      <c r="AS137" s="460">
        <v>2025</v>
      </c>
      <c r="AV137" s="566"/>
      <c r="AW137" s="31"/>
    </row>
    <row r="138" spans="1:49" x14ac:dyDescent="0.35">
      <c r="W138" s="117"/>
      <c r="X138" s="117"/>
      <c r="Z138" s="142"/>
      <c r="AA138" s="125"/>
      <c r="AB138" s="117"/>
      <c r="AC138" s="117"/>
      <c r="AD138" s="142"/>
      <c r="AE138" s="125"/>
      <c r="AF138" s="117"/>
      <c r="AG138" s="117"/>
      <c r="AH138" s="117"/>
      <c r="AQ138" s="38"/>
      <c r="AR138" s="38"/>
      <c r="AS138" s="38"/>
      <c r="AV138" s="566"/>
      <c r="AW138" s="31"/>
    </row>
    <row r="139" spans="1:49" x14ac:dyDescent="0.35">
      <c r="A139" s="107" t="s">
        <v>284</v>
      </c>
      <c r="W139" s="118">
        <v>-1</v>
      </c>
      <c r="X139" s="118">
        <v>-2</v>
      </c>
      <c r="Z139" s="143">
        <v>-2</v>
      </c>
      <c r="AA139" s="126">
        <v>-1</v>
      </c>
      <c r="AB139" s="118">
        <v>-3</v>
      </c>
      <c r="AC139" s="118">
        <v>-6</v>
      </c>
      <c r="AD139" s="143">
        <v>-2</v>
      </c>
      <c r="AE139" s="126">
        <v>-4</v>
      </c>
      <c r="AF139" s="118">
        <v>-28</v>
      </c>
      <c r="AG139" s="118">
        <v>-1</v>
      </c>
      <c r="AH139" s="118">
        <v>-37</v>
      </c>
      <c r="AQ139" s="114">
        <v>-7</v>
      </c>
      <c r="AR139" s="114">
        <v>-12</v>
      </c>
      <c r="AS139" s="114">
        <f>AE139+AF139+AG139+AH139</f>
        <v>-70</v>
      </c>
      <c r="AV139" s="566"/>
      <c r="AW139" s="31"/>
    </row>
    <row r="140" spans="1:49" ht="23.25" x14ac:dyDescent="0.35">
      <c r="A140" s="109" t="s">
        <v>306</v>
      </c>
      <c r="W140" s="119">
        <v>-1</v>
      </c>
      <c r="X140" s="119">
        <v>-2</v>
      </c>
      <c r="Z140" s="144">
        <v>-2</v>
      </c>
      <c r="AA140" s="127">
        <v>-1</v>
      </c>
      <c r="AB140" s="119">
        <v>-3</v>
      </c>
      <c r="AC140" s="119">
        <v>-6</v>
      </c>
      <c r="AD140" s="144">
        <v>-2</v>
      </c>
      <c r="AE140" s="127">
        <v>-3</v>
      </c>
      <c r="AF140" s="119">
        <v>-28</v>
      </c>
      <c r="AG140" s="119">
        <v>1</v>
      </c>
      <c r="AH140" s="119">
        <v>-36</v>
      </c>
      <c r="AQ140" s="115">
        <v>-7</v>
      </c>
      <c r="AR140" s="115">
        <v>-12</v>
      </c>
      <c r="AS140" s="115">
        <f t="shared" ref="AS140:AS141" si="61">AE140+AF140+AG140+AH140</f>
        <v>-66</v>
      </c>
      <c r="AV140" s="566"/>
      <c r="AW140" s="31"/>
    </row>
    <row r="141" spans="1:49" ht="23.65" thickBot="1" x14ac:dyDescent="0.4">
      <c r="A141" s="107" t="s">
        <v>28</v>
      </c>
      <c r="W141" s="120">
        <v>0</v>
      </c>
      <c r="X141" s="120">
        <v>0</v>
      </c>
      <c r="Z141" s="145">
        <v>0</v>
      </c>
      <c r="AA141" s="128">
        <v>0</v>
      </c>
      <c r="AB141" s="120">
        <v>0</v>
      </c>
      <c r="AC141" s="120">
        <v>0</v>
      </c>
      <c r="AD141" s="145">
        <v>0</v>
      </c>
      <c r="AE141" s="128">
        <v>-1</v>
      </c>
      <c r="AF141" s="120">
        <v>0</v>
      </c>
      <c r="AG141" s="120">
        <v>-2</v>
      </c>
      <c r="AH141" s="120">
        <v>-1</v>
      </c>
      <c r="AQ141" s="116">
        <v>0</v>
      </c>
      <c r="AR141" s="116">
        <v>0</v>
      </c>
      <c r="AS141" s="116">
        <f t="shared" si="61"/>
        <v>-4</v>
      </c>
      <c r="AV141" s="566"/>
      <c r="AW141" s="31"/>
    </row>
    <row r="142" spans="1:49" ht="13.15" thickTop="1" x14ac:dyDescent="0.35">
      <c r="AQ142" s="110"/>
    </row>
    <row r="143" spans="1:49" x14ac:dyDescent="0.35">
      <c r="AQ143" s="274"/>
    </row>
    <row r="144" spans="1:49" x14ac:dyDescent="0.35">
      <c r="A144" s="107"/>
    </row>
    <row r="145" spans="1:1" x14ac:dyDescent="0.35">
      <c r="A145" s="109"/>
    </row>
    <row r="146" spans="1:1" x14ac:dyDescent="0.35">
      <c r="A146" s="109"/>
    </row>
    <row r="147" spans="1:1" x14ac:dyDescent="0.35">
      <c r="A147" s="109"/>
    </row>
    <row r="148" spans="1:1" x14ac:dyDescent="0.35">
      <c r="A148" s="109"/>
    </row>
    <row r="149" spans="1:1" x14ac:dyDescent="0.35">
      <c r="A149" s="109"/>
    </row>
    <row r="150" spans="1:1" x14ac:dyDescent="0.35">
      <c r="A150" s="109"/>
    </row>
    <row r="151" spans="1:1" x14ac:dyDescent="0.35">
      <c r="A151" s="107"/>
    </row>
  </sheetData>
  <pageMargins left="0.7" right="0.7" top="0.75" bottom="0.75" header="0.3" footer="0.3"/>
  <pageSetup paperSize="9" scale="16" orientation="portrait" r:id="rId1"/>
  <customProperties>
    <customPr name="_pios_id" r:id="rId2"/>
  </customProperties>
  <ignoredErrors>
    <ignoredError sqref="AS5:AS97 AS124 AS120:AS122 AS99 AS101:AS102"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GN53"/>
  <sheetViews>
    <sheetView zoomScaleNormal="100" workbookViewId="0">
      <pane xSplit="1" ySplit="3" topLeftCell="B14" activePane="bottomRight" state="frozen"/>
      <selection pane="topRight" activeCell="B1" sqref="B1"/>
      <selection pane="bottomLeft" activeCell="A4" sqref="A4"/>
      <selection pane="bottomRight" activeCell="AI26" sqref="AI26"/>
    </sheetView>
  </sheetViews>
  <sheetFormatPr defaultRowHeight="12.75" outlineLevelCol="1" x14ac:dyDescent="0.35"/>
  <cols>
    <col min="1" max="1" width="50.3984375" customWidth="1"/>
    <col min="2" max="34" width="9.1328125" customWidth="1" outlineLevel="1"/>
    <col min="35" max="35" width="2.73046875" customWidth="1"/>
    <col min="36" max="36" width="9.59765625" customWidth="1"/>
    <col min="37" max="39" width="9.1328125" customWidth="1"/>
    <col min="40" max="42" width="8.73046875" customWidth="1"/>
  </cols>
  <sheetData>
    <row r="1" spans="1:43" ht="13.9" x14ac:dyDescent="0.4">
      <c r="A1" s="1" t="s">
        <v>43</v>
      </c>
    </row>
    <row r="2" spans="1:43" ht="14.25" thickBot="1" x14ac:dyDescent="0.45">
      <c r="A2" s="1" t="s">
        <v>307</v>
      </c>
      <c r="AQ2" t="s">
        <v>45</v>
      </c>
    </row>
    <row r="3" spans="1:43" s="2" customFormat="1" ht="14.25" customHeight="1" thickBot="1" x14ac:dyDescent="0.45">
      <c r="A3" s="8" t="s">
        <v>46</v>
      </c>
      <c r="B3" s="159" t="s">
        <v>47</v>
      </c>
      <c r="C3" s="160" t="s">
        <v>48</v>
      </c>
      <c r="D3" s="160" t="s">
        <v>49</v>
      </c>
      <c r="E3" s="73" t="s">
        <v>50</v>
      </c>
      <c r="F3" s="159" t="s">
        <v>51</v>
      </c>
      <c r="G3" s="160" t="s">
        <v>52</v>
      </c>
      <c r="H3" s="160" t="s">
        <v>53</v>
      </c>
      <c r="I3" s="73" t="s">
        <v>54</v>
      </c>
      <c r="J3" s="159" t="s">
        <v>55</v>
      </c>
      <c r="K3" s="160" t="s">
        <v>56</v>
      </c>
      <c r="L3" s="160" t="s">
        <v>57</v>
      </c>
      <c r="M3" s="73" t="s">
        <v>58</v>
      </c>
      <c r="N3" s="159" t="s">
        <v>59</v>
      </c>
      <c r="O3" s="160" t="s">
        <v>60</v>
      </c>
      <c r="P3" s="160" t="s">
        <v>61</v>
      </c>
      <c r="Q3" s="73" t="s">
        <v>62</v>
      </c>
      <c r="R3" s="159" t="s">
        <v>63</v>
      </c>
      <c r="S3" s="160" t="s">
        <v>64</v>
      </c>
      <c r="T3" s="160" t="s">
        <v>65</v>
      </c>
      <c r="U3" s="73" t="s">
        <v>66</v>
      </c>
      <c r="V3" s="159" t="s">
        <v>67</v>
      </c>
      <c r="W3" s="160" t="s">
        <v>68</v>
      </c>
      <c r="X3" s="160" t="s">
        <v>69</v>
      </c>
      <c r="Y3" s="73" t="s">
        <v>70</v>
      </c>
      <c r="Z3" s="159" t="s">
        <v>71</v>
      </c>
      <c r="AA3" s="160" t="s">
        <v>72</v>
      </c>
      <c r="AB3" s="160" t="s">
        <v>73</v>
      </c>
      <c r="AC3" s="73" t="s">
        <v>74</v>
      </c>
      <c r="AD3" s="159" t="s">
        <v>75</v>
      </c>
      <c r="AE3" s="160" t="s">
        <v>76</v>
      </c>
      <c r="AF3" s="160" t="s">
        <v>77</v>
      </c>
      <c r="AG3" s="73" t="s">
        <v>78</v>
      </c>
      <c r="AH3" s="231"/>
      <c r="AJ3" s="181">
        <v>2018</v>
      </c>
      <c r="AK3" s="181">
        <v>2019</v>
      </c>
      <c r="AL3" s="181">
        <v>2020</v>
      </c>
      <c r="AM3" s="181">
        <v>2021</v>
      </c>
      <c r="AN3" s="181">
        <v>2022</v>
      </c>
      <c r="AO3" s="181">
        <v>2023</v>
      </c>
      <c r="AP3" s="181">
        <v>2024</v>
      </c>
      <c r="AQ3" s="181">
        <v>2025</v>
      </c>
    </row>
    <row r="4" spans="1:43" ht="14.25" customHeight="1" x14ac:dyDescent="0.35">
      <c r="A4" s="4"/>
      <c r="B4" s="215"/>
      <c r="C4" s="331"/>
      <c r="D4" s="195"/>
      <c r="E4" s="57"/>
      <c r="F4" s="215"/>
      <c r="G4" s="331"/>
      <c r="H4" s="195"/>
      <c r="I4" s="57"/>
      <c r="J4" s="215"/>
      <c r="K4" s="331"/>
      <c r="L4" s="195"/>
      <c r="M4" s="57"/>
      <c r="N4" s="215"/>
      <c r="O4" s="331"/>
      <c r="P4" s="195"/>
      <c r="Q4" s="57"/>
      <c r="R4" s="215"/>
      <c r="S4" s="331"/>
      <c r="T4" s="195"/>
      <c r="U4" s="57"/>
      <c r="V4" s="215"/>
      <c r="W4" s="331"/>
      <c r="X4" s="195"/>
      <c r="Y4" s="57"/>
      <c r="Z4" s="215"/>
      <c r="AA4" s="331"/>
      <c r="AB4" s="195"/>
      <c r="AC4" s="57"/>
      <c r="AD4" s="215"/>
      <c r="AE4" s="331"/>
      <c r="AF4" s="195"/>
      <c r="AG4" s="57"/>
      <c r="AH4" s="5"/>
      <c r="AJ4" s="3"/>
      <c r="AK4" s="3"/>
      <c r="AL4" s="3"/>
      <c r="AM4" s="3"/>
      <c r="AN4" s="3"/>
      <c r="AO4" s="3"/>
      <c r="AP4" s="3"/>
      <c r="AQ4" s="3"/>
    </row>
    <row r="5" spans="1:43" ht="14.25" customHeight="1" x14ac:dyDescent="0.4">
      <c r="A5" s="29" t="s">
        <v>308</v>
      </c>
      <c r="B5" s="225">
        <v>70</v>
      </c>
      <c r="C5" s="263">
        <v>66</v>
      </c>
      <c r="D5" s="154">
        <v>1833</v>
      </c>
      <c r="E5" s="104">
        <v>289</v>
      </c>
      <c r="F5" s="225">
        <v>-16</v>
      </c>
      <c r="G5" s="263">
        <v>46</v>
      </c>
      <c r="H5" s="154">
        <v>119</v>
      </c>
      <c r="I5" s="104">
        <v>123</v>
      </c>
      <c r="J5" s="225">
        <v>-13</v>
      </c>
      <c r="K5" s="263">
        <v>-209</v>
      </c>
      <c r="L5" s="154">
        <v>-18</v>
      </c>
      <c r="M5" s="104">
        <v>320</v>
      </c>
      <c r="N5" s="225">
        <v>364</v>
      </c>
      <c r="O5" s="263">
        <v>406</v>
      </c>
      <c r="P5" s="154">
        <v>526</v>
      </c>
      <c r="Q5" s="104">
        <v>610</v>
      </c>
      <c r="R5" s="225">
        <v>666</v>
      </c>
      <c r="S5" s="263">
        <v>683</v>
      </c>
      <c r="T5" s="154">
        <v>750</v>
      </c>
      <c r="U5" s="104">
        <v>734</v>
      </c>
      <c r="V5" s="225">
        <v>623</v>
      </c>
      <c r="W5" s="263">
        <v>704</v>
      </c>
      <c r="X5" s="154">
        <v>792</v>
      </c>
      <c r="Y5" s="104">
        <v>703</v>
      </c>
      <c r="Z5" s="225">
        <v>644</v>
      </c>
      <c r="AA5" s="263">
        <v>664</v>
      </c>
      <c r="AB5" s="154">
        <v>729</v>
      </c>
      <c r="AC5" s="104">
        <v>505</v>
      </c>
      <c r="AD5" s="225">
        <v>497</v>
      </c>
      <c r="AE5" s="263">
        <v>457</v>
      </c>
      <c r="AF5" s="154">
        <v>646</v>
      </c>
      <c r="AG5" s="104">
        <v>468</v>
      </c>
      <c r="AH5" s="78"/>
      <c r="AI5" s="31"/>
      <c r="AJ5" s="56">
        <v>2258</v>
      </c>
      <c r="AK5" s="56">
        <f>SUM(F5:I5)</f>
        <v>272</v>
      </c>
      <c r="AL5" s="56">
        <f>SUM(J5:M5)</f>
        <v>80</v>
      </c>
      <c r="AM5" s="56">
        <f>SUM(N5:Q5)</f>
        <v>1906</v>
      </c>
      <c r="AN5" s="56">
        <f>SUM(R5:U5)</f>
        <v>2833</v>
      </c>
      <c r="AO5" s="56">
        <v>2822</v>
      </c>
      <c r="AP5" s="56">
        <v>2542</v>
      </c>
      <c r="AQ5" s="56">
        <f>SUM(AD5:AG5)</f>
        <v>2068</v>
      </c>
    </row>
    <row r="6" spans="1:43" ht="14.25" customHeight="1" x14ac:dyDescent="0.35">
      <c r="A6" s="27" t="s">
        <v>309</v>
      </c>
      <c r="B6" s="226">
        <v>0</v>
      </c>
      <c r="C6" s="262">
        <v>0</v>
      </c>
      <c r="D6" s="155">
        <v>0</v>
      </c>
      <c r="E6" s="105">
        <v>0</v>
      </c>
      <c r="F6" s="226">
        <v>0</v>
      </c>
      <c r="G6" s="262">
        <v>0</v>
      </c>
      <c r="H6" s="155">
        <v>0</v>
      </c>
      <c r="I6" s="105">
        <v>0</v>
      </c>
      <c r="J6" s="226">
        <v>0</v>
      </c>
      <c r="K6" s="262">
        <v>0</v>
      </c>
      <c r="L6" s="155">
        <v>0</v>
      </c>
      <c r="M6" s="105">
        <v>0</v>
      </c>
      <c r="N6" s="226">
        <v>0</v>
      </c>
      <c r="O6" s="262">
        <v>0</v>
      </c>
      <c r="P6" s="155">
        <v>0</v>
      </c>
      <c r="Q6" s="105">
        <v>0</v>
      </c>
      <c r="R6" s="226">
        <v>0</v>
      </c>
      <c r="S6" s="262">
        <v>0</v>
      </c>
      <c r="T6" s="155">
        <v>0</v>
      </c>
      <c r="U6" s="105">
        <v>0</v>
      </c>
      <c r="V6" s="226">
        <v>0</v>
      </c>
      <c r="W6" s="262">
        <v>0</v>
      </c>
      <c r="X6" s="155">
        <v>0</v>
      </c>
      <c r="Y6" s="105">
        <v>0</v>
      </c>
      <c r="Z6" s="226">
        <v>0</v>
      </c>
      <c r="AA6" s="262">
        <v>0</v>
      </c>
      <c r="AB6" s="155">
        <v>0</v>
      </c>
      <c r="AC6" s="105">
        <v>0</v>
      </c>
      <c r="AD6" s="226">
        <v>0</v>
      </c>
      <c r="AE6" s="262">
        <v>0</v>
      </c>
      <c r="AF6" s="155">
        <v>0</v>
      </c>
      <c r="AG6" s="105" t="s">
        <v>354</v>
      </c>
      <c r="AH6" s="77"/>
      <c r="AI6" s="31"/>
      <c r="AJ6" s="32">
        <v>0</v>
      </c>
      <c r="AK6" s="32">
        <f>SUM(F6:I6)</f>
        <v>0</v>
      </c>
      <c r="AL6" s="32">
        <f>SUM(J6:M6)</f>
        <v>0</v>
      </c>
      <c r="AM6" s="56">
        <f>SUM(N6:Q6)</f>
        <v>0</v>
      </c>
      <c r="AN6" s="56">
        <f>SUM(R6:U6)</f>
        <v>0</v>
      </c>
      <c r="AO6" s="56">
        <v>0</v>
      </c>
      <c r="AP6" s="56">
        <v>0</v>
      </c>
      <c r="AQ6" s="56">
        <f t="shared" ref="AQ6:AQ7" si="0">SUM(AD6:AG6)</f>
        <v>0</v>
      </c>
    </row>
    <row r="7" spans="1:43" ht="14.25" customHeight="1" x14ac:dyDescent="0.4">
      <c r="A7" s="28" t="s">
        <v>96</v>
      </c>
      <c r="B7" s="225">
        <v>70</v>
      </c>
      <c r="C7" s="263">
        <v>66</v>
      </c>
      <c r="D7" s="154">
        <v>1833</v>
      </c>
      <c r="E7" s="104">
        <v>289</v>
      </c>
      <c r="F7" s="225">
        <v>-16</v>
      </c>
      <c r="G7" s="263">
        <v>46</v>
      </c>
      <c r="H7" s="154">
        <v>119</v>
      </c>
      <c r="I7" s="104">
        <v>123</v>
      </c>
      <c r="J7" s="225">
        <v>-13</v>
      </c>
      <c r="K7" s="263">
        <v>-209</v>
      </c>
      <c r="L7" s="154">
        <v>-18</v>
      </c>
      <c r="M7" s="104">
        <v>320</v>
      </c>
      <c r="N7" s="225">
        <v>364</v>
      </c>
      <c r="O7" s="263">
        <v>406</v>
      </c>
      <c r="P7" s="154">
        <v>526</v>
      </c>
      <c r="Q7" s="104">
        <v>610</v>
      </c>
      <c r="R7" s="225">
        <v>666</v>
      </c>
      <c r="S7" s="263">
        <v>683</v>
      </c>
      <c r="T7" s="154">
        <v>750</v>
      </c>
      <c r="U7" s="104">
        <v>734</v>
      </c>
      <c r="V7" s="225">
        <v>623</v>
      </c>
      <c r="W7" s="263">
        <v>704</v>
      </c>
      <c r="X7" s="154">
        <v>792</v>
      </c>
      <c r="Y7" s="104">
        <v>703</v>
      </c>
      <c r="Z7" s="225">
        <v>644</v>
      </c>
      <c r="AA7" s="263">
        <v>664</v>
      </c>
      <c r="AB7" s="154">
        <v>729</v>
      </c>
      <c r="AC7" s="104">
        <v>505</v>
      </c>
      <c r="AD7" s="225">
        <v>497</v>
      </c>
      <c r="AE7" s="263">
        <v>457</v>
      </c>
      <c r="AF7" s="154">
        <v>646</v>
      </c>
      <c r="AG7" s="104">
        <v>468</v>
      </c>
      <c r="AH7" s="78"/>
      <c r="AI7" s="31"/>
      <c r="AJ7" s="56">
        <v>2258</v>
      </c>
      <c r="AK7" s="56">
        <f>SUM(F7:I7)</f>
        <v>272</v>
      </c>
      <c r="AL7" s="56">
        <f>SUM(J7:M7)</f>
        <v>80</v>
      </c>
      <c r="AM7" s="56">
        <f>SUM(N7:Q7)</f>
        <v>1906</v>
      </c>
      <c r="AN7" s="56">
        <f>SUM(R7:U7)</f>
        <v>2833</v>
      </c>
      <c r="AO7" s="56">
        <v>2822</v>
      </c>
      <c r="AP7" s="56">
        <v>2542</v>
      </c>
      <c r="AQ7" s="56">
        <f t="shared" si="0"/>
        <v>2068</v>
      </c>
    </row>
    <row r="8" spans="1:43" ht="14.25" customHeight="1" x14ac:dyDescent="0.35">
      <c r="A8" s="11"/>
      <c r="B8" s="226"/>
      <c r="C8" s="262"/>
      <c r="D8" s="155"/>
      <c r="E8" s="105"/>
      <c r="F8" s="226"/>
      <c r="G8" s="262"/>
      <c r="H8" s="155"/>
      <c r="I8" s="105"/>
      <c r="J8" s="226"/>
      <c r="K8" s="262"/>
      <c r="L8" s="155"/>
      <c r="M8" s="105"/>
      <c r="N8" s="226"/>
      <c r="O8" s="262"/>
      <c r="P8" s="155"/>
      <c r="Q8" s="105"/>
      <c r="R8" s="226"/>
      <c r="S8" s="262"/>
      <c r="T8" s="155"/>
      <c r="U8" s="105"/>
      <c r="V8" s="226"/>
      <c r="W8" s="262"/>
      <c r="X8" s="155"/>
      <c r="Y8" s="105"/>
      <c r="Z8" s="226"/>
      <c r="AA8" s="262"/>
      <c r="AB8" s="155"/>
      <c r="AC8" s="105"/>
      <c r="AD8" s="226"/>
      <c r="AE8" s="262"/>
      <c r="AF8" s="155"/>
      <c r="AG8" s="105"/>
      <c r="AH8" s="77"/>
      <c r="AI8" s="31"/>
      <c r="AJ8" s="32"/>
      <c r="AK8" s="32"/>
      <c r="AL8" s="32"/>
      <c r="AM8" s="32"/>
      <c r="AN8" s="32"/>
      <c r="AO8" s="32"/>
      <c r="AP8" s="32"/>
      <c r="AQ8" s="32"/>
    </row>
    <row r="9" spans="1:43" ht="14.25" customHeight="1" x14ac:dyDescent="0.35">
      <c r="A9" s="10" t="s">
        <v>310</v>
      </c>
      <c r="B9" s="226"/>
      <c r="C9" s="262"/>
      <c r="D9" s="155"/>
      <c r="E9" s="105"/>
      <c r="F9" s="226"/>
      <c r="G9" s="262"/>
      <c r="H9" s="155"/>
      <c r="I9" s="105"/>
      <c r="J9" s="226"/>
      <c r="K9" s="262"/>
      <c r="L9" s="155"/>
      <c r="M9" s="105"/>
      <c r="N9" s="226"/>
      <c r="O9" s="262"/>
      <c r="P9" s="155"/>
      <c r="Q9" s="105"/>
      <c r="R9" s="226"/>
      <c r="S9" s="262"/>
      <c r="T9" s="155"/>
      <c r="U9" s="105"/>
      <c r="V9" s="226"/>
      <c r="W9" s="262"/>
      <c r="X9" s="155"/>
      <c r="Y9" s="105"/>
      <c r="Z9" s="226"/>
      <c r="AA9" s="262"/>
      <c r="AB9" s="155"/>
      <c r="AC9" s="105"/>
      <c r="AD9" s="226"/>
      <c r="AE9" s="262"/>
      <c r="AF9" s="155"/>
      <c r="AG9" s="105"/>
      <c r="AH9" s="77"/>
      <c r="AI9" s="31"/>
      <c r="AJ9" s="32"/>
      <c r="AK9" s="32"/>
      <c r="AL9" s="32"/>
      <c r="AM9" s="32"/>
      <c r="AN9" s="32"/>
      <c r="AO9" s="32"/>
      <c r="AP9" s="32"/>
      <c r="AQ9" s="32"/>
    </row>
    <row r="10" spans="1:43" ht="14.25" customHeight="1" x14ac:dyDescent="0.35">
      <c r="A10" s="10" t="s">
        <v>311</v>
      </c>
      <c r="B10" s="226">
        <v>68</v>
      </c>
      <c r="C10" s="262">
        <v>71</v>
      </c>
      <c r="D10" s="155">
        <v>119</v>
      </c>
      <c r="E10" s="105">
        <v>77</v>
      </c>
      <c r="F10" s="226">
        <v>83</v>
      </c>
      <c r="G10" s="262">
        <v>89</v>
      </c>
      <c r="H10" s="155">
        <v>85</v>
      </c>
      <c r="I10" s="105">
        <v>93</v>
      </c>
      <c r="J10" s="226">
        <v>78</v>
      </c>
      <c r="K10" s="262">
        <v>96</v>
      </c>
      <c r="L10" s="155">
        <v>106</v>
      </c>
      <c r="M10" s="105">
        <v>137</v>
      </c>
      <c r="N10" s="226">
        <v>87</v>
      </c>
      <c r="O10" s="262">
        <v>100</v>
      </c>
      <c r="P10" s="155">
        <v>93</v>
      </c>
      <c r="Q10" s="105">
        <v>123</v>
      </c>
      <c r="R10" s="226">
        <v>105</v>
      </c>
      <c r="S10" s="262">
        <v>128</v>
      </c>
      <c r="T10" s="155">
        <v>98</v>
      </c>
      <c r="U10" s="105">
        <v>103</v>
      </c>
      <c r="V10" s="226">
        <v>82</v>
      </c>
      <c r="W10" s="262">
        <v>74</v>
      </c>
      <c r="X10" s="155">
        <v>75</v>
      </c>
      <c r="Y10" s="105">
        <v>78</v>
      </c>
      <c r="Z10" s="226">
        <v>70</v>
      </c>
      <c r="AA10" s="262">
        <v>75</v>
      </c>
      <c r="AB10" s="155">
        <v>82</v>
      </c>
      <c r="AC10" s="105">
        <v>91</v>
      </c>
      <c r="AD10" s="226">
        <v>92</v>
      </c>
      <c r="AE10" s="262">
        <v>86</v>
      </c>
      <c r="AF10" s="155">
        <v>98</v>
      </c>
      <c r="AG10" s="105">
        <v>108</v>
      </c>
      <c r="AH10" s="77"/>
      <c r="AI10" s="31"/>
      <c r="AJ10" s="32">
        <v>335</v>
      </c>
      <c r="AK10" s="32">
        <f>SUM(F10:I10)</f>
        <v>350</v>
      </c>
      <c r="AL10" s="32">
        <f>SUM(J10:M10)</f>
        <v>417</v>
      </c>
      <c r="AM10" s="350">
        <f>SUM(N10:Q10)</f>
        <v>403</v>
      </c>
      <c r="AN10" s="350">
        <f>SUM(R10:U10)</f>
        <v>434</v>
      </c>
      <c r="AO10" s="350">
        <v>309</v>
      </c>
      <c r="AP10" s="350">
        <v>318</v>
      </c>
      <c r="AQ10" s="350">
        <f t="shared" ref="AQ10:AQ13" si="1">SUM(AD10:AG10)</f>
        <v>384</v>
      </c>
    </row>
    <row r="11" spans="1:43" ht="14.25" customHeight="1" x14ac:dyDescent="0.35">
      <c r="A11" s="27" t="s">
        <v>312</v>
      </c>
      <c r="B11" s="226">
        <v>2</v>
      </c>
      <c r="C11" s="262">
        <v>4</v>
      </c>
      <c r="D11" s="155">
        <v>311</v>
      </c>
      <c r="E11" s="105">
        <v>-141</v>
      </c>
      <c r="F11" s="226">
        <v>-9</v>
      </c>
      <c r="G11" s="262">
        <v>21</v>
      </c>
      <c r="H11" s="155">
        <v>28</v>
      </c>
      <c r="I11" s="105">
        <v>-20</v>
      </c>
      <c r="J11" s="226">
        <v>2</v>
      </c>
      <c r="K11" s="262">
        <v>-33</v>
      </c>
      <c r="L11" s="155">
        <v>-57</v>
      </c>
      <c r="M11" s="105">
        <v>5</v>
      </c>
      <c r="N11" s="226">
        <v>40</v>
      </c>
      <c r="O11" s="262">
        <v>65</v>
      </c>
      <c r="P11" s="155">
        <v>95</v>
      </c>
      <c r="Q11" s="105">
        <v>72</v>
      </c>
      <c r="R11" s="226">
        <v>114</v>
      </c>
      <c r="S11" s="262">
        <v>129</v>
      </c>
      <c r="T11" s="155">
        <v>149</v>
      </c>
      <c r="U11" s="105">
        <v>137</v>
      </c>
      <c r="V11" s="226">
        <v>118</v>
      </c>
      <c r="W11" s="262">
        <v>158</v>
      </c>
      <c r="X11" s="155">
        <v>123</v>
      </c>
      <c r="Y11" s="105">
        <v>124</v>
      </c>
      <c r="Z11" s="226">
        <v>141</v>
      </c>
      <c r="AA11" s="262">
        <v>154</v>
      </c>
      <c r="AB11" s="155">
        <v>173</v>
      </c>
      <c r="AC11" s="105">
        <v>77</v>
      </c>
      <c r="AD11" s="226">
        <v>130</v>
      </c>
      <c r="AE11" s="262">
        <v>116</v>
      </c>
      <c r="AF11" s="155">
        <v>148</v>
      </c>
      <c r="AG11" s="105">
        <v>131</v>
      </c>
      <c r="AH11" s="77"/>
      <c r="AI11" s="31"/>
      <c r="AJ11" s="32">
        <v>176</v>
      </c>
      <c r="AK11" s="32">
        <f>SUM(F11:I11)</f>
        <v>20</v>
      </c>
      <c r="AL11" s="32">
        <f>SUM(J11:M11)</f>
        <v>-83</v>
      </c>
      <c r="AM11" s="350">
        <f>SUM(N11:Q11)</f>
        <v>272</v>
      </c>
      <c r="AN11" s="350">
        <f>SUM(R11:U11)</f>
        <v>529</v>
      </c>
      <c r="AO11" s="350">
        <v>523</v>
      </c>
      <c r="AP11" s="350">
        <v>545</v>
      </c>
      <c r="AQ11" s="350">
        <f t="shared" si="1"/>
        <v>525</v>
      </c>
    </row>
    <row r="12" spans="1:43" ht="14.25" customHeight="1" x14ac:dyDescent="0.35">
      <c r="A12" s="543" t="s">
        <v>313</v>
      </c>
      <c r="B12" s="226">
        <v>116</v>
      </c>
      <c r="C12" s="262">
        <v>119</v>
      </c>
      <c r="D12" s="155">
        <v>119</v>
      </c>
      <c r="E12" s="105">
        <v>124</v>
      </c>
      <c r="F12" s="226">
        <v>124</v>
      </c>
      <c r="G12" s="262">
        <v>128</v>
      </c>
      <c r="H12" s="155">
        <v>135</v>
      </c>
      <c r="I12" s="105">
        <v>131</v>
      </c>
      <c r="J12" s="226">
        <v>133</v>
      </c>
      <c r="K12" s="262">
        <v>136</v>
      </c>
      <c r="L12" s="155">
        <v>139</v>
      </c>
      <c r="M12" s="105">
        <v>139</v>
      </c>
      <c r="N12" s="226">
        <v>132</v>
      </c>
      <c r="O12" s="262">
        <v>135</v>
      </c>
      <c r="P12" s="155">
        <v>139</v>
      </c>
      <c r="Q12" s="105">
        <v>145</v>
      </c>
      <c r="R12" s="226">
        <v>142</v>
      </c>
      <c r="S12" s="262">
        <v>149</v>
      </c>
      <c r="T12" s="155">
        <v>156</v>
      </c>
      <c r="U12" s="105">
        <v>158</v>
      </c>
      <c r="V12" s="226">
        <v>160</v>
      </c>
      <c r="W12" s="262">
        <v>162</v>
      </c>
      <c r="X12" s="155">
        <v>163</v>
      </c>
      <c r="Y12" s="105">
        <v>167</v>
      </c>
      <c r="Z12" s="226">
        <v>145</v>
      </c>
      <c r="AA12" s="262">
        <v>146</v>
      </c>
      <c r="AB12" s="155">
        <v>149</v>
      </c>
      <c r="AC12" s="105">
        <v>190</v>
      </c>
      <c r="AD12" s="226">
        <v>143</v>
      </c>
      <c r="AE12" s="262">
        <v>143</v>
      </c>
      <c r="AF12" s="155">
        <v>132</v>
      </c>
      <c r="AG12" s="105">
        <v>142</v>
      </c>
      <c r="AH12" s="77"/>
      <c r="AI12" s="31"/>
      <c r="AJ12" s="32">
        <v>478</v>
      </c>
      <c r="AK12" s="32">
        <f>SUM(F12:I12)</f>
        <v>518</v>
      </c>
      <c r="AL12" s="32">
        <f>SUM(J12:M12)</f>
        <v>547</v>
      </c>
      <c r="AM12" s="350">
        <f>SUM(N12:Q12)</f>
        <v>551</v>
      </c>
      <c r="AN12" s="350">
        <f>SUM(R12:U12)</f>
        <v>605</v>
      </c>
      <c r="AO12" s="350">
        <v>652</v>
      </c>
      <c r="AP12" s="350">
        <v>630</v>
      </c>
      <c r="AQ12" s="350">
        <f t="shared" si="1"/>
        <v>560</v>
      </c>
    </row>
    <row r="13" spans="1:43" ht="14.25" customHeight="1" x14ac:dyDescent="0.35">
      <c r="A13" s="27" t="s">
        <v>314</v>
      </c>
      <c r="B13" s="226">
        <v>375</v>
      </c>
      <c r="C13" s="262">
        <v>377</v>
      </c>
      <c r="D13" s="155">
        <v>378</v>
      </c>
      <c r="E13" s="105">
        <v>379</v>
      </c>
      <c r="F13" s="226">
        <v>378</v>
      </c>
      <c r="G13" s="262">
        <v>378</v>
      </c>
      <c r="H13" s="155">
        <v>382</v>
      </c>
      <c r="I13" s="105">
        <v>391</v>
      </c>
      <c r="J13" s="226">
        <v>407</v>
      </c>
      <c r="K13" s="262">
        <v>407</v>
      </c>
      <c r="L13" s="155">
        <v>450</v>
      </c>
      <c r="M13" s="105">
        <v>177</v>
      </c>
      <c r="N13" s="226">
        <v>209</v>
      </c>
      <c r="O13" s="262">
        <v>170</v>
      </c>
      <c r="P13" s="155">
        <v>167</v>
      </c>
      <c r="Q13" s="105">
        <v>165</v>
      </c>
      <c r="R13" s="226">
        <v>168</v>
      </c>
      <c r="S13" s="262">
        <v>168</v>
      </c>
      <c r="T13" s="155">
        <v>165</v>
      </c>
      <c r="U13" s="105">
        <v>144</v>
      </c>
      <c r="V13" s="226">
        <v>123</v>
      </c>
      <c r="W13" s="262">
        <v>119</v>
      </c>
      <c r="X13" s="155">
        <v>110</v>
      </c>
      <c r="Y13" s="105">
        <v>102</v>
      </c>
      <c r="Z13" s="226">
        <v>90</v>
      </c>
      <c r="AA13" s="262">
        <v>67</v>
      </c>
      <c r="AB13" s="155">
        <v>69</v>
      </c>
      <c r="AC13" s="105">
        <v>69</v>
      </c>
      <c r="AD13" s="226">
        <v>66</v>
      </c>
      <c r="AE13" s="262">
        <v>64</v>
      </c>
      <c r="AF13" s="155">
        <v>69</v>
      </c>
      <c r="AG13" s="105">
        <v>73</v>
      </c>
      <c r="AH13" s="77"/>
      <c r="AI13" s="31"/>
      <c r="AJ13" s="32">
        <v>1509</v>
      </c>
      <c r="AK13" s="32">
        <f>SUM(F13:I13)</f>
        <v>1529</v>
      </c>
      <c r="AL13" s="32">
        <f>SUM(J13:M13)</f>
        <v>1441</v>
      </c>
      <c r="AM13" s="350">
        <f>SUM(N13:Q13)</f>
        <v>711</v>
      </c>
      <c r="AN13" s="350">
        <f>SUM(R13:U13)</f>
        <v>645</v>
      </c>
      <c r="AO13" s="350">
        <v>454</v>
      </c>
      <c r="AP13" s="350">
        <v>295</v>
      </c>
      <c r="AQ13" s="350">
        <f t="shared" si="1"/>
        <v>272</v>
      </c>
    </row>
    <row r="14" spans="1:43" ht="14.25" customHeight="1" x14ac:dyDescent="0.35">
      <c r="A14" s="10"/>
      <c r="B14" s="226"/>
      <c r="C14" s="262"/>
      <c r="D14" s="155"/>
      <c r="E14" s="105"/>
      <c r="F14" s="226"/>
      <c r="G14" s="262"/>
      <c r="H14" s="155"/>
      <c r="I14" s="105"/>
      <c r="J14" s="226"/>
      <c r="K14" s="262"/>
      <c r="L14" s="155"/>
      <c r="M14" s="105"/>
      <c r="N14" s="226"/>
      <c r="O14" s="262"/>
      <c r="P14" s="155"/>
      <c r="Q14" s="105"/>
      <c r="R14" s="226"/>
      <c r="S14" s="262"/>
      <c r="T14" s="155"/>
      <c r="U14" s="105"/>
      <c r="V14" s="226"/>
      <c r="W14" s="262"/>
      <c r="X14" s="155"/>
      <c r="Y14" s="105"/>
      <c r="Z14" s="226"/>
      <c r="AA14" s="262"/>
      <c r="AB14" s="155"/>
      <c r="AC14" s="105"/>
      <c r="AD14" s="226"/>
      <c r="AE14" s="262"/>
      <c r="AF14" s="155"/>
      <c r="AG14" s="105"/>
      <c r="AH14" s="77"/>
      <c r="AI14" s="31"/>
      <c r="AJ14" s="32"/>
      <c r="AK14" s="32"/>
      <c r="AL14" s="32"/>
      <c r="AM14" s="350"/>
      <c r="AN14" s="350"/>
      <c r="AO14" s="350"/>
      <c r="AP14" s="350"/>
      <c r="AQ14" s="350"/>
    </row>
    <row r="15" spans="1:43" ht="14.25" customHeight="1" x14ac:dyDescent="0.4">
      <c r="A15" s="28" t="s">
        <v>315</v>
      </c>
      <c r="B15" s="225">
        <v>631</v>
      </c>
      <c r="C15" s="263">
        <v>637</v>
      </c>
      <c r="D15" s="154">
        <v>2760</v>
      </c>
      <c r="E15" s="104">
        <v>728</v>
      </c>
      <c r="F15" s="225">
        <v>560</v>
      </c>
      <c r="G15" s="263">
        <v>662</v>
      </c>
      <c r="H15" s="154">
        <v>749</v>
      </c>
      <c r="I15" s="104">
        <v>718</v>
      </c>
      <c r="J15" s="225">
        <v>607</v>
      </c>
      <c r="K15" s="263">
        <v>397</v>
      </c>
      <c r="L15" s="154">
        <v>620</v>
      </c>
      <c r="M15" s="104">
        <v>778</v>
      </c>
      <c r="N15" s="225">
        <v>832</v>
      </c>
      <c r="O15" s="263">
        <v>876</v>
      </c>
      <c r="P15" s="154">
        <v>1020</v>
      </c>
      <c r="Q15" s="104">
        <v>1115</v>
      </c>
      <c r="R15" s="225">
        <v>1195</v>
      </c>
      <c r="S15" s="263">
        <v>1257</v>
      </c>
      <c r="T15" s="154">
        <v>1318</v>
      </c>
      <c r="U15" s="104">
        <v>1276</v>
      </c>
      <c r="V15" s="225">
        <v>1106</v>
      </c>
      <c r="W15" s="263">
        <v>1217</v>
      </c>
      <c r="X15" s="154">
        <v>1263</v>
      </c>
      <c r="Y15" s="104">
        <v>1174</v>
      </c>
      <c r="Z15" s="225">
        <v>1090</v>
      </c>
      <c r="AA15" s="263">
        <v>1106</v>
      </c>
      <c r="AB15" s="154">
        <v>1202</v>
      </c>
      <c r="AC15" s="104">
        <v>932</v>
      </c>
      <c r="AD15" s="225">
        <v>928</v>
      </c>
      <c r="AE15" s="263">
        <v>866</v>
      </c>
      <c r="AF15" s="154">
        <v>1093</v>
      </c>
      <c r="AG15" s="104">
        <v>922</v>
      </c>
      <c r="AH15" s="78"/>
      <c r="AI15" s="31"/>
      <c r="AJ15" s="56">
        <v>4756</v>
      </c>
      <c r="AK15" s="56">
        <f>SUM(F15:I15)</f>
        <v>2689</v>
      </c>
      <c r="AL15" s="56">
        <f>SUM(J15:M15)</f>
        <v>2402</v>
      </c>
      <c r="AM15" s="56">
        <f>SUM(N15:Q15)</f>
        <v>3843</v>
      </c>
      <c r="AN15" s="56">
        <f>SUM(R15:U15)</f>
        <v>5046</v>
      </c>
      <c r="AO15" s="56">
        <v>4760</v>
      </c>
      <c r="AP15" s="56">
        <v>4330</v>
      </c>
      <c r="AQ15" s="56">
        <f t="shared" ref="AQ15:AQ24" si="2">SUM(AD15:AG15)</f>
        <v>3809</v>
      </c>
    </row>
    <row r="16" spans="1:43" ht="14.25" customHeight="1" x14ac:dyDescent="0.35">
      <c r="A16" s="10"/>
      <c r="B16" s="226"/>
      <c r="C16" s="262"/>
      <c r="D16" s="155"/>
      <c r="E16" s="105"/>
      <c r="F16" s="226"/>
      <c r="G16" s="262"/>
      <c r="H16" s="155"/>
      <c r="I16" s="105"/>
      <c r="J16" s="226"/>
      <c r="K16" s="262"/>
      <c r="L16" s="155"/>
      <c r="M16" s="105"/>
      <c r="N16" s="226"/>
      <c r="O16" s="262"/>
      <c r="P16" s="155"/>
      <c r="Q16" s="105"/>
      <c r="R16" s="226"/>
      <c r="S16" s="262"/>
      <c r="T16" s="155"/>
      <c r="U16" s="105"/>
      <c r="V16" s="226"/>
      <c r="W16" s="262"/>
      <c r="X16" s="155"/>
      <c r="Y16" s="105"/>
      <c r="Z16" s="226"/>
      <c r="AA16" s="262"/>
      <c r="AB16" s="155"/>
      <c r="AC16" s="105"/>
      <c r="AD16" s="226"/>
      <c r="AE16" s="262"/>
      <c r="AF16" s="155"/>
      <c r="AG16" s="105"/>
      <c r="AH16" s="77"/>
      <c r="AI16" s="31"/>
      <c r="AJ16" s="32"/>
      <c r="AK16" s="32"/>
      <c r="AL16" s="32"/>
      <c r="AM16" s="350"/>
      <c r="AN16" s="350"/>
      <c r="AO16" s="350"/>
      <c r="AP16" s="350"/>
      <c r="AQ16" s="350">
        <f t="shared" si="2"/>
        <v>0</v>
      </c>
    </row>
    <row r="17" spans="1:43" ht="25.5" x14ac:dyDescent="0.35">
      <c r="A17" s="551" t="s">
        <v>316</v>
      </c>
      <c r="B17" s="226">
        <v>-2</v>
      </c>
      <c r="C17" s="262">
        <v>-4</v>
      </c>
      <c r="D17" s="155">
        <v>-52</v>
      </c>
      <c r="E17" s="105">
        <v>-1</v>
      </c>
      <c r="F17" s="226">
        <v>-4</v>
      </c>
      <c r="G17" s="262">
        <v>1</v>
      </c>
      <c r="H17" s="155">
        <v>1</v>
      </c>
      <c r="I17" s="105">
        <v>1</v>
      </c>
      <c r="J17" s="226">
        <v>1</v>
      </c>
      <c r="K17" s="262">
        <v>1</v>
      </c>
      <c r="L17" s="155">
        <v>1</v>
      </c>
      <c r="M17" s="105">
        <v>1</v>
      </c>
      <c r="N17" s="226">
        <v>1</v>
      </c>
      <c r="O17" s="262">
        <v>2</v>
      </c>
      <c r="P17" s="155">
        <v>-3</v>
      </c>
      <c r="Q17" s="105">
        <v>2</v>
      </c>
      <c r="R17" s="226">
        <v>-12</v>
      </c>
      <c r="S17" s="262">
        <v>3</v>
      </c>
      <c r="T17" s="155">
        <v>4</v>
      </c>
      <c r="U17" s="105">
        <v>6</v>
      </c>
      <c r="V17" s="226">
        <v>2</v>
      </c>
      <c r="W17" s="262">
        <v>1</v>
      </c>
      <c r="X17" s="155">
        <v>2</v>
      </c>
      <c r="Y17" s="105">
        <v>2</v>
      </c>
      <c r="Z17" s="226">
        <v>1</v>
      </c>
      <c r="AA17" s="262">
        <v>3</v>
      </c>
      <c r="AB17" s="155">
        <v>6</v>
      </c>
      <c r="AC17" s="105">
        <v>2</v>
      </c>
      <c r="AD17" s="226">
        <v>3</v>
      </c>
      <c r="AE17" s="262">
        <v>28</v>
      </c>
      <c r="AF17" s="155">
        <v>-1</v>
      </c>
      <c r="AG17" s="105">
        <v>36</v>
      </c>
      <c r="AH17" s="77"/>
      <c r="AI17" s="31"/>
      <c r="AJ17" s="32">
        <v>-59</v>
      </c>
      <c r="AK17" s="32">
        <f t="shared" ref="AK17:AK24" si="3">SUM(F17:I17)</f>
        <v>-1</v>
      </c>
      <c r="AL17" s="32">
        <f t="shared" ref="AL17:AL24" si="4">SUM(J17:M17)</f>
        <v>4</v>
      </c>
      <c r="AM17" s="350">
        <f t="shared" ref="AM17:AM24" si="5">SUM(N17:Q17)</f>
        <v>2</v>
      </c>
      <c r="AN17" s="350">
        <f t="shared" ref="AN17:AN24" si="6">SUM(R17:U17)</f>
        <v>1</v>
      </c>
      <c r="AO17" s="350">
        <v>7</v>
      </c>
      <c r="AP17" s="350">
        <v>12</v>
      </c>
      <c r="AQ17" s="350">
        <f t="shared" si="2"/>
        <v>66</v>
      </c>
    </row>
    <row r="18" spans="1:43" ht="14.25" customHeight="1" x14ac:dyDescent="0.35">
      <c r="A18" s="10" t="s">
        <v>317</v>
      </c>
      <c r="B18" s="226">
        <v>0</v>
      </c>
      <c r="C18" s="262">
        <v>0</v>
      </c>
      <c r="D18" s="155">
        <v>0</v>
      </c>
      <c r="E18" s="105">
        <v>0</v>
      </c>
      <c r="F18" s="226">
        <v>0</v>
      </c>
      <c r="G18" s="262">
        <v>0</v>
      </c>
      <c r="H18" s="155">
        <v>0</v>
      </c>
      <c r="I18" s="105">
        <v>8</v>
      </c>
      <c r="J18" s="226">
        <v>17</v>
      </c>
      <c r="K18" s="262">
        <v>0</v>
      </c>
      <c r="L18" s="155">
        <v>0</v>
      </c>
      <c r="M18" s="105">
        <v>0</v>
      </c>
      <c r="N18" s="226">
        <v>0</v>
      </c>
      <c r="O18" s="262">
        <v>0</v>
      </c>
      <c r="P18" s="155">
        <v>0</v>
      </c>
      <c r="Q18" s="105">
        <v>0</v>
      </c>
      <c r="R18" s="226">
        <v>0</v>
      </c>
      <c r="S18" s="262">
        <v>0</v>
      </c>
      <c r="T18" s="155">
        <v>0</v>
      </c>
      <c r="U18" s="105">
        <v>0</v>
      </c>
      <c r="V18" s="226">
        <v>0</v>
      </c>
      <c r="W18" s="262">
        <v>0</v>
      </c>
      <c r="X18" s="155">
        <v>0</v>
      </c>
      <c r="Y18" s="105">
        <v>0</v>
      </c>
      <c r="Z18" s="226">
        <v>0</v>
      </c>
      <c r="AA18" s="262">
        <v>0</v>
      </c>
      <c r="AB18" s="155">
        <v>0</v>
      </c>
      <c r="AC18" s="105">
        <v>0</v>
      </c>
      <c r="AD18" s="226">
        <v>0</v>
      </c>
      <c r="AE18" s="262"/>
      <c r="AF18" s="155"/>
      <c r="AG18" s="105"/>
      <c r="AH18" s="77"/>
      <c r="AI18" s="31"/>
      <c r="AJ18" s="32">
        <v>0</v>
      </c>
      <c r="AK18" s="32">
        <f t="shared" si="3"/>
        <v>8</v>
      </c>
      <c r="AL18" s="32">
        <f t="shared" si="4"/>
        <v>17</v>
      </c>
      <c r="AM18" s="350">
        <f t="shared" si="5"/>
        <v>0</v>
      </c>
      <c r="AN18" s="350">
        <f t="shared" si="6"/>
        <v>0</v>
      </c>
      <c r="AO18" s="350">
        <v>0</v>
      </c>
      <c r="AP18" s="350">
        <v>0</v>
      </c>
      <c r="AQ18" s="350">
        <f t="shared" si="2"/>
        <v>0</v>
      </c>
    </row>
    <row r="19" spans="1:43" ht="14.25" customHeight="1" x14ac:dyDescent="0.35">
      <c r="A19" s="10" t="s">
        <v>318</v>
      </c>
      <c r="B19" s="226"/>
      <c r="C19" s="262"/>
      <c r="D19" s="155"/>
      <c r="E19" s="105"/>
      <c r="F19" s="226"/>
      <c r="G19" s="262"/>
      <c r="H19" s="155"/>
      <c r="I19" s="105"/>
      <c r="J19" s="226"/>
      <c r="K19" s="262"/>
      <c r="L19" s="155"/>
      <c r="M19" s="105"/>
      <c r="N19" s="226"/>
      <c r="O19" s="262"/>
      <c r="P19" s="155"/>
      <c r="Q19" s="105"/>
      <c r="R19" s="226"/>
      <c r="S19" s="262"/>
      <c r="T19" s="155"/>
      <c r="U19" s="105"/>
      <c r="V19" s="226"/>
      <c r="W19" s="262"/>
      <c r="X19" s="155"/>
      <c r="Y19" s="105"/>
      <c r="Z19" s="226"/>
      <c r="AA19" s="262"/>
      <c r="AB19" s="155"/>
      <c r="AC19" s="105"/>
      <c r="AD19" s="226">
        <v>5</v>
      </c>
      <c r="AE19" s="262"/>
      <c r="AF19" s="155"/>
      <c r="AG19" s="105"/>
      <c r="AH19" s="77"/>
      <c r="AI19" s="31"/>
      <c r="AJ19" s="32"/>
      <c r="AK19" s="32"/>
      <c r="AL19" s="32"/>
      <c r="AM19" s="350"/>
      <c r="AN19" s="350"/>
      <c r="AO19" s="350"/>
      <c r="AP19" s="350"/>
      <c r="AQ19" s="350">
        <f t="shared" si="2"/>
        <v>5</v>
      </c>
    </row>
    <row r="20" spans="1:43" ht="14.25" customHeight="1" x14ac:dyDescent="0.35">
      <c r="A20" s="10" t="s">
        <v>319</v>
      </c>
      <c r="B20" s="226">
        <v>1</v>
      </c>
      <c r="C20" s="262">
        <v>-1</v>
      </c>
      <c r="D20" s="155">
        <v>5</v>
      </c>
      <c r="E20" s="105">
        <v>1</v>
      </c>
      <c r="F20" s="226">
        <v>25</v>
      </c>
      <c r="G20" s="262">
        <v>5</v>
      </c>
      <c r="H20" s="155">
        <v>-1</v>
      </c>
      <c r="I20" s="105">
        <v>-1</v>
      </c>
      <c r="J20" s="226">
        <v>11</v>
      </c>
      <c r="K20" s="262">
        <v>8</v>
      </c>
      <c r="L20" s="155">
        <v>21</v>
      </c>
      <c r="M20" s="105">
        <v>38</v>
      </c>
      <c r="N20" s="226">
        <v>0</v>
      </c>
      <c r="O20" s="262">
        <v>1</v>
      </c>
      <c r="P20" s="155">
        <v>0</v>
      </c>
      <c r="Q20" s="105">
        <v>0</v>
      </c>
      <c r="R20" s="226">
        <v>-1</v>
      </c>
      <c r="S20" s="262">
        <v>-4</v>
      </c>
      <c r="T20" s="155">
        <v>0</v>
      </c>
      <c r="U20" s="105">
        <v>-2</v>
      </c>
      <c r="V20" s="226">
        <v>18</v>
      </c>
      <c r="W20" s="262">
        <v>0</v>
      </c>
      <c r="X20" s="155">
        <v>-4</v>
      </c>
      <c r="Y20" s="105">
        <v>84</v>
      </c>
      <c r="Z20" s="226">
        <v>7</v>
      </c>
      <c r="AA20" s="262">
        <v>6</v>
      </c>
      <c r="AB20" s="155">
        <v>0</v>
      </c>
      <c r="AC20" s="105">
        <v>112</v>
      </c>
      <c r="AD20" s="226">
        <v>14</v>
      </c>
      <c r="AE20" s="262">
        <v>67</v>
      </c>
      <c r="AF20" s="155">
        <v>3</v>
      </c>
      <c r="AG20" s="105">
        <v>177</v>
      </c>
      <c r="AH20" s="77"/>
      <c r="AI20" s="31"/>
      <c r="AJ20" s="32">
        <v>6</v>
      </c>
      <c r="AK20" s="32">
        <f t="shared" si="3"/>
        <v>28</v>
      </c>
      <c r="AL20" s="32">
        <f t="shared" si="4"/>
        <v>78</v>
      </c>
      <c r="AM20" s="350">
        <f t="shared" si="5"/>
        <v>1</v>
      </c>
      <c r="AN20" s="350">
        <f t="shared" si="6"/>
        <v>-7</v>
      </c>
      <c r="AO20" s="350">
        <v>98</v>
      </c>
      <c r="AP20" s="350">
        <v>125</v>
      </c>
      <c r="AQ20" s="350">
        <f t="shared" si="2"/>
        <v>261</v>
      </c>
    </row>
    <row r="21" spans="1:43" ht="14.25" customHeight="1" x14ac:dyDescent="0.35">
      <c r="A21" s="10" t="s">
        <v>9</v>
      </c>
      <c r="B21" s="226">
        <v>69</v>
      </c>
      <c r="C21" s="262">
        <v>69</v>
      </c>
      <c r="D21" s="155">
        <v>83</v>
      </c>
      <c r="E21" s="105">
        <v>93</v>
      </c>
      <c r="F21" s="226">
        <v>86</v>
      </c>
      <c r="G21" s="262">
        <v>87</v>
      </c>
      <c r="H21" s="155">
        <v>84</v>
      </c>
      <c r="I21" s="105">
        <v>89</v>
      </c>
      <c r="J21" s="226">
        <v>107</v>
      </c>
      <c r="K21" s="262">
        <v>105</v>
      </c>
      <c r="L21" s="155">
        <v>83</v>
      </c>
      <c r="M21" s="105">
        <v>89</v>
      </c>
      <c r="N21" s="226">
        <v>91</v>
      </c>
      <c r="O21" s="262">
        <v>93</v>
      </c>
      <c r="P21" s="155">
        <v>81</v>
      </c>
      <c r="Q21" s="105">
        <v>88</v>
      </c>
      <c r="R21" s="226">
        <v>89</v>
      </c>
      <c r="S21" s="262">
        <v>89</v>
      </c>
      <c r="T21" s="155">
        <v>89</v>
      </c>
      <c r="U21" s="105">
        <v>97</v>
      </c>
      <c r="V21" s="226">
        <v>99</v>
      </c>
      <c r="W21" s="262">
        <v>102</v>
      </c>
      <c r="X21" s="155">
        <v>103</v>
      </c>
      <c r="Y21" s="105">
        <v>107</v>
      </c>
      <c r="Z21" s="226">
        <v>115</v>
      </c>
      <c r="AA21" s="262">
        <v>114</v>
      </c>
      <c r="AB21" s="155">
        <v>115</v>
      </c>
      <c r="AC21" s="105">
        <v>117</v>
      </c>
      <c r="AD21" s="226">
        <v>127</v>
      </c>
      <c r="AE21" s="262">
        <v>117</v>
      </c>
      <c r="AF21" s="155">
        <v>118</v>
      </c>
      <c r="AG21" s="105">
        <v>100</v>
      </c>
      <c r="AH21" s="77"/>
      <c r="AI21" s="31"/>
      <c r="AJ21" s="32">
        <v>314</v>
      </c>
      <c r="AK21" s="32">
        <f t="shared" si="3"/>
        <v>346</v>
      </c>
      <c r="AL21" s="32">
        <f t="shared" si="4"/>
        <v>384</v>
      </c>
      <c r="AM21" s="350">
        <f t="shared" si="5"/>
        <v>353</v>
      </c>
      <c r="AN21" s="350">
        <f t="shared" si="6"/>
        <v>364</v>
      </c>
      <c r="AO21" s="350">
        <v>411</v>
      </c>
      <c r="AP21" s="350">
        <v>461</v>
      </c>
      <c r="AQ21" s="350">
        <f t="shared" si="2"/>
        <v>462</v>
      </c>
    </row>
    <row r="22" spans="1:43" ht="14.25" customHeight="1" x14ac:dyDescent="0.35">
      <c r="A22" s="10" t="s">
        <v>320</v>
      </c>
      <c r="B22" s="226">
        <v>26</v>
      </c>
      <c r="C22" s="262">
        <v>25</v>
      </c>
      <c r="D22" s="155">
        <v>-1914</v>
      </c>
      <c r="E22" s="105">
        <v>15</v>
      </c>
      <c r="F22" s="226">
        <v>13</v>
      </c>
      <c r="G22" s="262">
        <v>10</v>
      </c>
      <c r="H22" s="155">
        <v>6</v>
      </c>
      <c r="I22" s="105">
        <v>4</v>
      </c>
      <c r="J22" s="226">
        <v>4</v>
      </c>
      <c r="K22" s="262">
        <v>3</v>
      </c>
      <c r="L22" s="155">
        <v>1</v>
      </c>
      <c r="M22" s="105">
        <v>0</v>
      </c>
      <c r="N22" s="226">
        <v>0</v>
      </c>
      <c r="O22" s="262">
        <v>0</v>
      </c>
      <c r="P22" s="155">
        <v>0</v>
      </c>
      <c r="Q22" s="105">
        <v>0</v>
      </c>
      <c r="R22" s="226">
        <v>0</v>
      </c>
      <c r="S22" s="262">
        <v>0</v>
      </c>
      <c r="T22" s="155">
        <v>0</v>
      </c>
      <c r="U22" s="105">
        <v>0</v>
      </c>
      <c r="V22" s="226">
        <v>0</v>
      </c>
      <c r="W22" s="262">
        <v>0</v>
      </c>
      <c r="X22" s="155">
        <v>0</v>
      </c>
      <c r="Y22" s="105">
        <v>0</v>
      </c>
      <c r="Z22" s="226">
        <v>0</v>
      </c>
      <c r="AA22" s="262">
        <v>0</v>
      </c>
      <c r="AB22" s="155">
        <v>0</v>
      </c>
      <c r="AC22" s="105">
        <v>0</v>
      </c>
      <c r="AD22" s="226">
        <v>0</v>
      </c>
      <c r="AE22" s="262">
        <v>0</v>
      </c>
      <c r="AF22" s="155"/>
      <c r="AG22" s="105"/>
      <c r="AH22" s="77"/>
      <c r="AI22" s="31"/>
      <c r="AJ22" s="32">
        <v>-1848</v>
      </c>
      <c r="AK22" s="32">
        <f t="shared" si="3"/>
        <v>33</v>
      </c>
      <c r="AL22" s="32">
        <f t="shared" si="4"/>
        <v>8</v>
      </c>
      <c r="AM22" s="350">
        <f t="shared" si="5"/>
        <v>0</v>
      </c>
      <c r="AN22" s="350">
        <f t="shared" si="6"/>
        <v>0</v>
      </c>
      <c r="AO22" s="350">
        <v>0</v>
      </c>
      <c r="AP22" s="350">
        <v>0</v>
      </c>
      <c r="AQ22" s="350">
        <f t="shared" si="2"/>
        <v>0</v>
      </c>
    </row>
    <row r="23" spans="1:43" ht="14.25" customHeight="1" x14ac:dyDescent="0.35">
      <c r="A23" s="27" t="s">
        <v>321</v>
      </c>
      <c r="B23" s="226">
        <v>1</v>
      </c>
      <c r="C23" s="262">
        <v>4</v>
      </c>
      <c r="D23" s="155">
        <v>-36</v>
      </c>
      <c r="E23" s="105">
        <v>13</v>
      </c>
      <c r="F23" s="226">
        <v>6</v>
      </c>
      <c r="G23" s="262">
        <v>4</v>
      </c>
      <c r="H23" s="155">
        <v>-17</v>
      </c>
      <c r="I23" s="105">
        <v>4</v>
      </c>
      <c r="J23" s="226">
        <v>-107</v>
      </c>
      <c r="K23" s="262">
        <v>3</v>
      </c>
      <c r="L23" s="155">
        <v>2</v>
      </c>
      <c r="M23" s="105">
        <v>1</v>
      </c>
      <c r="N23" s="226">
        <v>11</v>
      </c>
      <c r="O23" s="262">
        <v>4</v>
      </c>
      <c r="P23" s="155">
        <v>8</v>
      </c>
      <c r="Q23" s="105">
        <v>10</v>
      </c>
      <c r="R23" s="226">
        <v>8</v>
      </c>
      <c r="S23" s="262">
        <v>16</v>
      </c>
      <c r="T23" s="155">
        <v>33</v>
      </c>
      <c r="U23" s="105">
        <v>8</v>
      </c>
      <c r="V23" s="226">
        <v>42</v>
      </c>
      <c r="W23" s="262">
        <v>21</v>
      </c>
      <c r="X23" s="155">
        <v>27</v>
      </c>
      <c r="Y23" s="105">
        <v>44</v>
      </c>
      <c r="Z23" s="226">
        <v>39</v>
      </c>
      <c r="AA23" s="262">
        <v>14</v>
      </c>
      <c r="AB23" s="155">
        <v>6</v>
      </c>
      <c r="AC23" s="105">
        <f>122-45</f>
        <v>77</v>
      </c>
      <c r="AD23" s="226">
        <v>-4</v>
      </c>
      <c r="AE23" s="262">
        <v>25</v>
      </c>
      <c r="AF23" s="155">
        <v>19</v>
      </c>
      <c r="AG23" s="105">
        <v>84</v>
      </c>
      <c r="AH23" s="77"/>
      <c r="AI23" s="31"/>
      <c r="AJ23" s="32">
        <v>-18</v>
      </c>
      <c r="AK23" s="32">
        <f t="shared" si="3"/>
        <v>-3</v>
      </c>
      <c r="AL23" s="32">
        <f t="shared" si="4"/>
        <v>-101</v>
      </c>
      <c r="AM23" s="350">
        <f t="shared" si="5"/>
        <v>33</v>
      </c>
      <c r="AN23" s="350">
        <f t="shared" si="6"/>
        <v>65</v>
      </c>
      <c r="AO23" s="350">
        <v>134</v>
      </c>
      <c r="AP23" s="350">
        <v>136</v>
      </c>
      <c r="AQ23" s="350">
        <f>SUM(AD23:AG23)</f>
        <v>124</v>
      </c>
    </row>
    <row r="24" spans="1:43" ht="14.25" customHeight="1" x14ac:dyDescent="0.35">
      <c r="A24" s="27" t="s">
        <v>322</v>
      </c>
      <c r="B24" s="226">
        <v>0</v>
      </c>
      <c r="C24" s="262">
        <v>0</v>
      </c>
      <c r="D24" s="155">
        <v>0</v>
      </c>
      <c r="E24" s="105">
        <v>0</v>
      </c>
      <c r="F24" s="226">
        <v>0</v>
      </c>
      <c r="G24" s="262">
        <v>0</v>
      </c>
      <c r="H24" s="155">
        <v>0</v>
      </c>
      <c r="I24" s="105">
        <v>0</v>
      </c>
      <c r="J24" s="226">
        <v>0</v>
      </c>
      <c r="K24" s="262">
        <v>0</v>
      </c>
      <c r="L24" s="155">
        <v>0</v>
      </c>
      <c r="M24" s="105">
        <v>0</v>
      </c>
      <c r="N24" s="226">
        <v>0</v>
      </c>
      <c r="O24" s="262">
        <v>0</v>
      </c>
      <c r="P24" s="155">
        <v>0</v>
      </c>
      <c r="Q24" s="105">
        <v>0</v>
      </c>
      <c r="R24" s="226">
        <v>0</v>
      </c>
      <c r="S24" s="262">
        <v>0</v>
      </c>
      <c r="T24" s="155">
        <v>0</v>
      </c>
      <c r="U24" s="105">
        <v>0</v>
      </c>
      <c r="V24" s="226">
        <v>0</v>
      </c>
      <c r="W24" s="262">
        <v>0</v>
      </c>
      <c r="X24" s="155">
        <v>0</v>
      </c>
      <c r="Y24" s="105">
        <v>0</v>
      </c>
      <c r="Z24" s="226">
        <v>0</v>
      </c>
      <c r="AA24" s="262">
        <v>0</v>
      </c>
      <c r="AB24" s="155">
        <v>0</v>
      </c>
      <c r="AC24" s="105">
        <v>0</v>
      </c>
      <c r="AD24" s="226">
        <v>0</v>
      </c>
      <c r="AE24" s="262"/>
      <c r="AF24" s="155"/>
      <c r="AG24" s="105"/>
      <c r="AH24" s="77"/>
      <c r="AI24" s="31"/>
      <c r="AJ24" s="32">
        <v>0</v>
      </c>
      <c r="AK24" s="32">
        <f t="shared" si="3"/>
        <v>0</v>
      </c>
      <c r="AL24" s="32">
        <f t="shared" si="4"/>
        <v>0</v>
      </c>
      <c r="AM24" s="350">
        <f t="shared" si="5"/>
        <v>0</v>
      </c>
      <c r="AN24" s="350">
        <f t="shared" si="6"/>
        <v>0</v>
      </c>
      <c r="AO24" s="350">
        <v>0</v>
      </c>
      <c r="AP24" s="350">
        <v>0</v>
      </c>
      <c r="AQ24" s="350">
        <f t="shared" si="2"/>
        <v>0</v>
      </c>
    </row>
    <row r="25" spans="1:43" ht="14.25" customHeight="1" x14ac:dyDescent="0.35">
      <c r="A25" s="27"/>
      <c r="B25" s="226"/>
      <c r="C25" s="262"/>
      <c r="D25" s="155"/>
      <c r="E25" s="105"/>
      <c r="F25" s="226"/>
      <c r="G25" s="262"/>
      <c r="H25" s="155"/>
      <c r="I25" s="105"/>
      <c r="J25" s="226"/>
      <c r="K25" s="262"/>
      <c r="L25" s="155"/>
      <c r="M25" s="105"/>
      <c r="N25" s="226"/>
      <c r="O25" s="262"/>
      <c r="P25" s="155"/>
      <c r="Q25" s="105"/>
      <c r="R25" s="226"/>
      <c r="S25" s="262"/>
      <c r="T25" s="155"/>
      <c r="U25" s="105"/>
      <c r="V25" s="226"/>
      <c r="W25" s="262"/>
      <c r="X25" s="155"/>
      <c r="Y25" s="105"/>
      <c r="Z25" s="226"/>
      <c r="AA25" s="262"/>
      <c r="AB25" s="155"/>
      <c r="AC25" s="105"/>
      <c r="AD25" s="226"/>
      <c r="AE25" s="262"/>
      <c r="AF25" s="155"/>
      <c r="AG25" s="105"/>
      <c r="AH25" s="77"/>
      <c r="AI25" s="31"/>
      <c r="AJ25" s="32"/>
      <c r="AK25" s="32"/>
      <c r="AL25" s="32"/>
      <c r="AM25" s="32"/>
      <c r="AN25" s="32"/>
      <c r="AO25" s="32"/>
      <c r="AP25" s="32"/>
      <c r="AQ25" s="32"/>
    </row>
    <row r="26" spans="1:43" ht="14.25" customHeight="1" x14ac:dyDescent="0.4">
      <c r="A26" s="29" t="s">
        <v>323</v>
      </c>
      <c r="B26" s="225">
        <v>726</v>
      </c>
      <c r="C26" s="263">
        <v>730</v>
      </c>
      <c r="D26" s="154">
        <v>846</v>
      </c>
      <c r="E26" s="104">
        <v>849</v>
      </c>
      <c r="F26" s="225">
        <v>686</v>
      </c>
      <c r="G26" s="263">
        <v>769</v>
      </c>
      <c r="H26" s="154">
        <v>822</v>
      </c>
      <c r="I26" s="104">
        <v>823</v>
      </c>
      <c r="J26" s="225">
        <v>640</v>
      </c>
      <c r="K26" s="263">
        <v>517</v>
      </c>
      <c r="L26" s="154">
        <v>728</v>
      </c>
      <c r="M26" s="104">
        <v>907</v>
      </c>
      <c r="N26" s="225">
        <v>935</v>
      </c>
      <c r="O26" s="263">
        <v>976</v>
      </c>
      <c r="P26" s="154">
        <v>1106</v>
      </c>
      <c r="Q26" s="104">
        <v>1215</v>
      </c>
      <c r="R26" s="225">
        <v>1279</v>
      </c>
      <c r="S26" s="263">
        <v>1361</v>
      </c>
      <c r="T26" s="154">
        <v>1444</v>
      </c>
      <c r="U26" s="104">
        <v>1385</v>
      </c>
      <c r="V26" s="225">
        <v>1267</v>
      </c>
      <c r="W26" s="263">
        <v>1341</v>
      </c>
      <c r="X26" s="154">
        <v>1391</v>
      </c>
      <c r="Y26" s="104">
        <v>1411</v>
      </c>
      <c r="Z26" s="225">
        <v>1252</v>
      </c>
      <c r="AA26" s="263">
        <v>1243</v>
      </c>
      <c r="AB26" s="154">
        <v>1329</v>
      </c>
      <c r="AC26" s="104">
        <v>1240</v>
      </c>
      <c r="AD26" s="225">
        <v>1073</v>
      </c>
      <c r="AE26" s="263">
        <v>1103</v>
      </c>
      <c r="AF26" s="154">
        <v>1232</v>
      </c>
      <c r="AG26" s="104">
        <v>1319</v>
      </c>
      <c r="AH26" s="78"/>
      <c r="AI26" s="31"/>
      <c r="AJ26" s="56">
        <v>3151</v>
      </c>
      <c r="AK26" s="56">
        <f>SUM(F26:I26)</f>
        <v>3100</v>
      </c>
      <c r="AL26" s="56">
        <f>SUM(J26:M26)</f>
        <v>2792</v>
      </c>
      <c r="AM26" s="56">
        <f>SUM(N26:Q26)</f>
        <v>4232</v>
      </c>
      <c r="AN26" s="56">
        <f>SUM(R26:U26)</f>
        <v>5469</v>
      </c>
      <c r="AO26" s="56">
        <v>5410</v>
      </c>
      <c r="AP26" s="56">
        <v>5064</v>
      </c>
      <c r="AQ26" s="56">
        <f>SUM(AD26:AG26)</f>
        <v>4727</v>
      </c>
    </row>
    <row r="27" spans="1:43" ht="14.25" customHeight="1" thickBot="1" x14ac:dyDescent="0.45">
      <c r="A27" s="103" t="s">
        <v>324</v>
      </c>
      <c r="B27" s="227">
        <v>3176</v>
      </c>
      <c r="C27" s="264">
        <v>3176</v>
      </c>
      <c r="D27" s="156">
        <v>3176</v>
      </c>
      <c r="E27" s="106">
        <v>3151</v>
      </c>
      <c r="F27" s="227">
        <v>3111</v>
      </c>
      <c r="G27" s="264">
        <v>3150</v>
      </c>
      <c r="H27" s="156">
        <v>3126</v>
      </c>
      <c r="I27" s="106">
        <v>3100</v>
      </c>
      <c r="J27" s="227">
        <f>+G26+H26+I26+J26</f>
        <v>3054</v>
      </c>
      <c r="K27" s="264">
        <v>2802</v>
      </c>
      <c r="L27" s="156">
        <v>2708</v>
      </c>
      <c r="M27" s="106">
        <f>J26+K26+L26+M26</f>
        <v>2792</v>
      </c>
      <c r="N27" s="227">
        <v>3087</v>
      </c>
      <c r="O27" s="264">
        <v>3546</v>
      </c>
      <c r="P27" s="156">
        <v>3924</v>
      </c>
      <c r="Q27" s="106">
        <v>4232</v>
      </c>
      <c r="R27" s="227">
        <v>4576</v>
      </c>
      <c r="S27" s="264">
        <v>4961</v>
      </c>
      <c r="T27" s="156">
        <v>5299</v>
      </c>
      <c r="U27" s="106">
        <v>5469</v>
      </c>
      <c r="V27" s="227">
        <v>5457</v>
      </c>
      <c r="W27" s="264">
        <v>5437</v>
      </c>
      <c r="X27" s="156">
        <v>5384</v>
      </c>
      <c r="Y27" s="106">
        <v>5410</v>
      </c>
      <c r="Z27" s="227">
        <v>5395</v>
      </c>
      <c r="AA27" s="264">
        <v>5297</v>
      </c>
      <c r="AB27" s="156">
        <v>5235</v>
      </c>
      <c r="AC27" s="106">
        <v>5064</v>
      </c>
      <c r="AD27" s="227">
        <v>4885</v>
      </c>
      <c r="AE27" s="264">
        <v>4745</v>
      </c>
      <c r="AF27" s="156">
        <v>4648</v>
      </c>
      <c r="AG27" s="106">
        <v>4727</v>
      </c>
      <c r="AH27" s="78"/>
      <c r="AI27" s="31"/>
      <c r="AJ27" s="572">
        <v>3151</v>
      </c>
      <c r="AK27" s="572">
        <f>+AK26</f>
        <v>3100</v>
      </c>
      <c r="AL27" s="572">
        <f>AL26</f>
        <v>2792</v>
      </c>
      <c r="AM27" s="572">
        <f>AM26</f>
        <v>4232</v>
      </c>
      <c r="AN27" s="572">
        <f>AN26</f>
        <v>5469</v>
      </c>
      <c r="AO27" s="572">
        <v>5410</v>
      </c>
      <c r="AP27" s="572">
        <v>5064</v>
      </c>
      <c r="AQ27" s="572">
        <f>AQ26</f>
        <v>4727</v>
      </c>
    </row>
    <row r="28" spans="1:43" x14ac:dyDescent="0.35">
      <c r="A28" s="134" t="s">
        <v>325</v>
      </c>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row>
    <row r="29" spans="1:43" x14ac:dyDescent="0.35">
      <c r="A29" s="134" t="s">
        <v>326</v>
      </c>
      <c r="B29" s="176">
        <v>0</v>
      </c>
      <c r="C29" s="176">
        <v>0</v>
      </c>
      <c r="D29" s="176">
        <v>0</v>
      </c>
      <c r="E29" s="176">
        <v>0</v>
      </c>
      <c r="F29" s="176">
        <v>0</v>
      </c>
      <c r="G29" s="176">
        <v>0</v>
      </c>
      <c r="H29" s="176">
        <v>0</v>
      </c>
      <c r="I29" s="176">
        <v>0</v>
      </c>
      <c r="J29" s="176">
        <v>0</v>
      </c>
      <c r="K29" s="176">
        <v>0</v>
      </c>
      <c r="L29" s="176">
        <v>0</v>
      </c>
      <c r="M29" s="176">
        <v>0</v>
      </c>
      <c r="N29" s="176">
        <v>0</v>
      </c>
      <c r="O29" s="176">
        <v>0</v>
      </c>
      <c r="P29" s="176">
        <v>0</v>
      </c>
      <c r="Q29" s="176">
        <v>0</v>
      </c>
      <c r="R29" s="176">
        <v>0</v>
      </c>
      <c r="S29" s="176">
        <v>0</v>
      </c>
      <c r="T29" s="176">
        <v>0</v>
      </c>
      <c r="U29" s="176">
        <v>0</v>
      </c>
      <c r="V29" s="176">
        <v>0</v>
      </c>
      <c r="W29" s="176">
        <v>0</v>
      </c>
      <c r="X29" s="176">
        <v>0</v>
      </c>
      <c r="Y29" s="176">
        <v>0</v>
      </c>
      <c r="Z29" s="176">
        <v>0</v>
      </c>
      <c r="AA29" s="176">
        <v>0</v>
      </c>
      <c r="AB29" s="176">
        <v>0</v>
      </c>
      <c r="AC29" s="176">
        <v>0</v>
      </c>
      <c r="AD29" s="176">
        <v>0</v>
      </c>
      <c r="AE29" s="176">
        <v>0</v>
      </c>
      <c r="AF29" s="176">
        <v>0</v>
      </c>
      <c r="AG29" s="176" t="s">
        <v>354</v>
      </c>
      <c r="AH29" s="176"/>
      <c r="AI29" s="110"/>
      <c r="AJ29" s="110">
        <v>0</v>
      </c>
      <c r="AK29" s="110">
        <f>SUM(F29:I29)</f>
        <v>0</v>
      </c>
      <c r="AL29" s="110">
        <f>SUM(J29:M29)</f>
        <v>0</v>
      </c>
      <c r="AM29" s="110">
        <f>SUM(N29:Q29)</f>
        <v>0</v>
      </c>
      <c r="AN29" s="110">
        <f>SUM(R29:U29)</f>
        <v>0</v>
      </c>
      <c r="AO29" s="110">
        <v>0</v>
      </c>
      <c r="AP29" s="110">
        <v>0</v>
      </c>
      <c r="AQ29" s="110">
        <f>SUM(AD29:AG29)</f>
        <v>0</v>
      </c>
    </row>
    <row r="30" spans="1:43" x14ac:dyDescent="0.35">
      <c r="A30" s="134" t="s">
        <v>327</v>
      </c>
      <c r="B30" s="253">
        <v>0</v>
      </c>
      <c r="C30" s="253">
        <v>0</v>
      </c>
      <c r="D30" s="253">
        <v>0</v>
      </c>
      <c r="E30" s="253">
        <v>0</v>
      </c>
      <c r="F30" s="253">
        <v>0</v>
      </c>
      <c r="G30" s="253">
        <v>0</v>
      </c>
      <c r="H30" s="253">
        <v>0</v>
      </c>
      <c r="I30" s="253">
        <v>0</v>
      </c>
      <c r="J30" s="253">
        <v>0</v>
      </c>
      <c r="K30" s="253">
        <v>0</v>
      </c>
      <c r="L30" s="253">
        <v>6</v>
      </c>
      <c r="M30" s="253">
        <v>2</v>
      </c>
      <c r="N30" s="253">
        <v>0</v>
      </c>
      <c r="O30" s="253">
        <v>0</v>
      </c>
      <c r="P30" s="253">
        <v>0</v>
      </c>
      <c r="Q30" s="253">
        <v>0</v>
      </c>
      <c r="R30" s="253">
        <v>0</v>
      </c>
      <c r="S30" s="253">
        <v>0</v>
      </c>
      <c r="T30" s="253">
        <v>0</v>
      </c>
      <c r="U30" s="253">
        <v>0</v>
      </c>
      <c r="V30" s="253">
        <v>2</v>
      </c>
      <c r="W30" s="253">
        <v>0</v>
      </c>
      <c r="X30" s="253">
        <v>0</v>
      </c>
      <c r="Y30" s="253">
        <v>0</v>
      </c>
      <c r="Z30" s="253">
        <v>0</v>
      </c>
      <c r="AA30" s="253">
        <v>0</v>
      </c>
      <c r="AB30" s="253">
        <v>0</v>
      </c>
      <c r="AC30" s="253">
        <v>45</v>
      </c>
      <c r="AD30" s="253">
        <v>4</v>
      </c>
      <c r="AE30" s="253">
        <v>7</v>
      </c>
      <c r="AF30" s="253">
        <v>0</v>
      </c>
      <c r="AG30" s="253">
        <v>8</v>
      </c>
      <c r="AH30" s="253"/>
      <c r="AI30" s="110"/>
      <c r="AJ30" s="110">
        <v>0</v>
      </c>
      <c r="AK30" s="110">
        <f>SUM(F30:I30)</f>
        <v>0</v>
      </c>
      <c r="AL30" s="110">
        <f>SUM(J30:M30)</f>
        <v>8</v>
      </c>
      <c r="AM30" s="110">
        <f>SUM(N30:Q30)</f>
        <v>0</v>
      </c>
      <c r="AN30" s="110">
        <f>SUM(R30:U30)</f>
        <v>0</v>
      </c>
      <c r="AO30" s="110">
        <v>2</v>
      </c>
      <c r="AP30" s="110">
        <v>45</v>
      </c>
      <c r="AQ30" s="110">
        <f>SUM(AD30:AG30)</f>
        <v>19</v>
      </c>
    </row>
    <row r="31" spans="1:43" x14ac:dyDescent="0.35">
      <c r="A31" s="134"/>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row>
    <row r="32" spans="1:43" x14ac:dyDescent="0.35">
      <c r="A32" s="134"/>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row>
    <row r="33" spans="1:196" x14ac:dyDescent="0.35">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row>
    <row r="34" spans="1:196" ht="14.25" thickBot="1" x14ac:dyDescent="0.45">
      <c r="A34" s="1" t="s">
        <v>328</v>
      </c>
    </row>
    <row r="35" spans="1:196" ht="13.5" thickBot="1" x14ac:dyDescent="0.45">
      <c r="A35" s="8" t="s">
        <v>46</v>
      </c>
      <c r="B35" s="159" t="s">
        <v>47</v>
      </c>
      <c r="C35" s="160" t="s">
        <v>48</v>
      </c>
      <c r="D35" s="160" t="s">
        <v>49</v>
      </c>
      <c r="E35" s="73" t="s">
        <v>50</v>
      </c>
      <c r="F35" s="159" t="s">
        <v>51</v>
      </c>
      <c r="G35" s="160" t="s">
        <v>52</v>
      </c>
      <c r="H35" s="160" t="s">
        <v>53</v>
      </c>
      <c r="I35" s="73" t="s">
        <v>54</v>
      </c>
      <c r="J35" s="159" t="s">
        <v>55</v>
      </c>
      <c r="K35" s="160" t="s">
        <v>56</v>
      </c>
      <c r="L35" s="160" t="s">
        <v>57</v>
      </c>
      <c r="M35" s="73" t="s">
        <v>58</v>
      </c>
      <c r="N35" s="159" t="s">
        <v>59</v>
      </c>
      <c r="O35" s="160" t="s">
        <v>60</v>
      </c>
      <c r="P35" s="160" t="s">
        <v>61</v>
      </c>
      <c r="Q35" s="73" t="s">
        <v>62</v>
      </c>
      <c r="R35" s="159" t="s">
        <v>63</v>
      </c>
      <c r="S35" s="160" t="s">
        <v>64</v>
      </c>
      <c r="T35" s="160" t="s">
        <v>65</v>
      </c>
      <c r="U35" s="73" t="s">
        <v>66</v>
      </c>
      <c r="V35" s="159" t="s">
        <v>67</v>
      </c>
      <c r="W35" s="160" t="s">
        <v>68</v>
      </c>
      <c r="X35" s="160" t="s">
        <v>69</v>
      </c>
      <c r="Y35" s="73" t="s">
        <v>70</v>
      </c>
      <c r="Z35" s="159" t="s">
        <v>71</v>
      </c>
      <c r="AA35" s="160" t="s">
        <v>72</v>
      </c>
      <c r="AB35" s="160" t="s">
        <v>73</v>
      </c>
      <c r="AC35" s="73" t="s">
        <v>74</v>
      </c>
      <c r="AD35" s="159" t="s">
        <v>75</v>
      </c>
      <c r="AE35" s="160" t="s">
        <v>76</v>
      </c>
      <c r="AF35" s="160" t="s">
        <v>77</v>
      </c>
      <c r="AG35" s="73" t="s">
        <v>78</v>
      </c>
      <c r="AH35" s="231"/>
      <c r="AI35" s="2"/>
      <c r="AJ35" s="181">
        <v>2018</v>
      </c>
      <c r="AK35" s="181">
        <v>2019</v>
      </c>
      <c r="AL35" s="181">
        <v>2020</v>
      </c>
      <c r="AM35" s="181">
        <v>2021</v>
      </c>
      <c r="AN35" s="181">
        <v>2022</v>
      </c>
      <c r="AO35" s="181">
        <v>2023</v>
      </c>
      <c r="AP35" s="181">
        <v>2024</v>
      </c>
      <c r="AQ35" s="181">
        <v>2025</v>
      </c>
    </row>
    <row r="36" spans="1:196" x14ac:dyDescent="0.35">
      <c r="A36" s="170"/>
      <c r="B36" s="215"/>
      <c r="C36" s="331"/>
      <c r="D36" s="195"/>
      <c r="E36" s="57"/>
      <c r="F36" s="215"/>
      <c r="G36" s="331"/>
      <c r="H36" s="195"/>
      <c r="I36" s="57"/>
      <c r="J36" s="215"/>
      <c r="K36" s="331"/>
      <c r="L36" s="195"/>
      <c r="M36" s="57"/>
      <c r="N36" s="215"/>
      <c r="O36" s="331"/>
      <c r="P36" s="195"/>
      <c r="Q36" s="57"/>
      <c r="R36" s="215"/>
      <c r="S36" s="331"/>
      <c r="T36" s="195"/>
      <c r="U36" s="57"/>
      <c r="V36" s="215"/>
      <c r="W36" s="331"/>
      <c r="X36" s="195"/>
      <c r="Y36" s="57"/>
      <c r="Z36" s="215"/>
      <c r="AA36" s="331"/>
      <c r="AB36" s="195"/>
      <c r="AC36" s="57"/>
      <c r="AD36" s="215"/>
      <c r="AE36" s="331"/>
      <c r="AF36" s="195"/>
      <c r="AG36" s="57"/>
      <c r="AH36" s="5"/>
      <c r="AJ36" s="57"/>
      <c r="AK36" s="57"/>
      <c r="AL36" s="57"/>
      <c r="AM36" s="57"/>
      <c r="AN36" s="57"/>
      <c r="AO36" s="57"/>
      <c r="AP36" s="57"/>
      <c r="AQ36" s="57"/>
      <c r="AT36" t="s">
        <v>329</v>
      </c>
    </row>
    <row r="37" spans="1:196" ht="13.15" x14ac:dyDescent="0.4">
      <c r="A37" s="171" t="s">
        <v>330</v>
      </c>
      <c r="B37" s="220">
        <v>620</v>
      </c>
      <c r="C37" s="332">
        <v>403</v>
      </c>
      <c r="D37" s="196">
        <v>2615</v>
      </c>
      <c r="E37" s="68">
        <v>731</v>
      </c>
      <c r="F37" s="220">
        <v>296</v>
      </c>
      <c r="G37" s="332">
        <v>517</v>
      </c>
      <c r="H37" s="196">
        <v>746</v>
      </c>
      <c r="I37" s="68">
        <v>814</v>
      </c>
      <c r="J37" s="220">
        <v>512</v>
      </c>
      <c r="K37" s="332">
        <v>414</v>
      </c>
      <c r="L37" s="196">
        <v>527</v>
      </c>
      <c r="M37" s="68">
        <v>1029</v>
      </c>
      <c r="N37" s="220">
        <v>732</v>
      </c>
      <c r="O37" s="332">
        <v>636</v>
      </c>
      <c r="P37" s="196">
        <v>924</v>
      </c>
      <c r="Q37" s="68">
        <v>785</v>
      </c>
      <c r="R37" s="220">
        <v>856</v>
      </c>
      <c r="S37" s="332">
        <v>819</v>
      </c>
      <c r="T37" s="196">
        <v>1144</v>
      </c>
      <c r="U37" s="68">
        <v>1076</v>
      </c>
      <c r="V37" s="220">
        <v>632</v>
      </c>
      <c r="W37" s="332">
        <v>756</v>
      </c>
      <c r="X37" s="196">
        <v>988</v>
      </c>
      <c r="Y37" s="68">
        <v>1137</v>
      </c>
      <c r="Z37" s="220">
        <v>851</v>
      </c>
      <c r="AA37" s="332">
        <v>761</v>
      </c>
      <c r="AB37" s="196">
        <v>779</v>
      </c>
      <c r="AC37" s="68">
        <v>391</v>
      </c>
      <c r="AD37" s="220">
        <v>565</v>
      </c>
      <c r="AE37" s="332">
        <v>779</v>
      </c>
      <c r="AF37" s="196">
        <v>585</v>
      </c>
      <c r="AG37" s="68">
        <v>891</v>
      </c>
      <c r="AH37" s="89"/>
      <c r="AI37" s="67"/>
      <c r="AJ37" s="167">
        <v>4369</v>
      </c>
      <c r="AK37" s="167">
        <f>SUM(F37:I37)</f>
        <v>2373</v>
      </c>
      <c r="AL37" s="167">
        <f>SUM(J37:M37)</f>
        <v>2482</v>
      </c>
      <c r="AM37" s="167">
        <f>SUM(N37:Q37)</f>
        <v>3077</v>
      </c>
      <c r="AN37" s="167">
        <f>SUM(R37:U37)</f>
        <v>3895</v>
      </c>
      <c r="AO37" s="167">
        <v>3513</v>
      </c>
      <c r="AP37" s="167">
        <v>2782</v>
      </c>
      <c r="AQ37" s="167">
        <f>SUM(AD37:AG37)</f>
        <v>2820</v>
      </c>
    </row>
    <row r="38" spans="1:196" ht="13.15" x14ac:dyDescent="0.4">
      <c r="A38" s="171"/>
      <c r="B38" s="220"/>
      <c r="C38" s="332"/>
      <c r="D38" s="196"/>
      <c r="E38" s="68"/>
      <c r="F38" s="220"/>
      <c r="G38" s="332"/>
      <c r="H38" s="196"/>
      <c r="I38" s="68"/>
      <c r="J38" s="220"/>
      <c r="K38" s="332"/>
      <c r="L38" s="196"/>
      <c r="M38" s="68"/>
      <c r="N38" s="220"/>
      <c r="O38" s="332"/>
      <c r="P38" s="196"/>
      <c r="Q38" s="68"/>
      <c r="R38" s="220"/>
      <c r="S38" s="332"/>
      <c r="T38" s="196"/>
      <c r="U38" s="68"/>
      <c r="V38" s="220"/>
      <c r="W38" s="332"/>
      <c r="X38" s="196"/>
      <c r="Y38" s="68"/>
      <c r="Z38" s="220"/>
      <c r="AA38" s="332"/>
      <c r="AB38" s="196"/>
      <c r="AC38" s="68"/>
      <c r="AD38" s="220"/>
      <c r="AE38" s="332"/>
      <c r="AF38" s="196"/>
      <c r="AG38" s="68"/>
      <c r="AH38" s="89"/>
      <c r="AI38" s="67"/>
      <c r="AJ38" s="167"/>
      <c r="AK38" s="167"/>
      <c r="AL38" s="167"/>
      <c r="AM38" s="167"/>
      <c r="AN38" s="167"/>
      <c r="AO38" s="167"/>
      <c r="AP38" s="167"/>
      <c r="AQ38" s="167"/>
    </row>
    <row r="39" spans="1:196" x14ac:dyDescent="0.35">
      <c r="A39" s="135" t="s">
        <v>331</v>
      </c>
      <c r="B39" s="161">
        <v>-156</v>
      </c>
      <c r="C39" s="241">
        <v>-129</v>
      </c>
      <c r="D39" s="136">
        <v>-155</v>
      </c>
      <c r="E39" s="137">
        <v>-170</v>
      </c>
      <c r="F39" s="161">
        <v>-144</v>
      </c>
      <c r="G39" s="241">
        <v>-106</v>
      </c>
      <c r="H39" s="136">
        <v>-115</v>
      </c>
      <c r="I39" s="137">
        <v>-138</v>
      </c>
      <c r="J39" s="161">
        <v>-143</v>
      </c>
      <c r="K39" s="241">
        <v>-74</v>
      </c>
      <c r="L39" s="136">
        <v>-68</v>
      </c>
      <c r="M39" s="137">
        <v>-103</v>
      </c>
      <c r="N39" s="161">
        <v>-150</v>
      </c>
      <c r="O39" s="241">
        <v>-150</v>
      </c>
      <c r="P39" s="136">
        <v>-200</v>
      </c>
      <c r="Q39" s="137">
        <v>-266</v>
      </c>
      <c r="R39" s="161">
        <v>-279</v>
      </c>
      <c r="S39" s="241">
        <v>-268</v>
      </c>
      <c r="T39" s="136">
        <v>-281</v>
      </c>
      <c r="U39" s="137">
        <v>-233</v>
      </c>
      <c r="V39" s="161">
        <v>-251</v>
      </c>
      <c r="W39" s="241">
        <f>-201+1</f>
        <v>-200</v>
      </c>
      <c r="X39" s="136">
        <v>-200</v>
      </c>
      <c r="Y39" s="137">
        <v>-175</v>
      </c>
      <c r="Z39" s="161">
        <v>-224</v>
      </c>
      <c r="AA39" s="241">
        <v>-184</v>
      </c>
      <c r="AB39" s="136">
        <v>-186</v>
      </c>
      <c r="AC39" s="137">
        <f>-129+30</f>
        <v>-99</v>
      </c>
      <c r="AD39" s="161">
        <v>-138</v>
      </c>
      <c r="AE39" s="241">
        <v>-83</v>
      </c>
      <c r="AF39" s="136">
        <v>-76</v>
      </c>
      <c r="AG39" s="137">
        <v>-98</v>
      </c>
      <c r="AH39" s="31"/>
      <c r="AI39" s="31"/>
      <c r="AJ39" s="138">
        <v>-610</v>
      </c>
      <c r="AK39" s="138">
        <f>SUM(F39:I39)</f>
        <v>-503</v>
      </c>
      <c r="AL39" s="138">
        <f>SUM(J39:M39)</f>
        <v>-388</v>
      </c>
      <c r="AM39" s="138">
        <f>SUM(N39:Q39)</f>
        <v>-766</v>
      </c>
      <c r="AN39" s="138">
        <f>SUM(R39:U39)</f>
        <v>-1061</v>
      </c>
      <c r="AO39" s="138">
        <v>-826</v>
      </c>
      <c r="AP39" s="138">
        <v>-693</v>
      </c>
      <c r="AQ39" s="138">
        <f t="shared" ref="AQ39" si="7">SUM(AD39:AG39)</f>
        <v>-395</v>
      </c>
    </row>
    <row r="40" spans="1:196" x14ac:dyDescent="0.35">
      <c r="A40" s="135"/>
      <c r="B40" s="161"/>
      <c r="C40" s="241"/>
      <c r="D40" s="136"/>
      <c r="E40" s="137"/>
      <c r="F40" s="161"/>
      <c r="G40" s="241"/>
      <c r="H40" s="136"/>
      <c r="I40" s="137"/>
      <c r="J40" s="161"/>
      <c r="K40" s="241"/>
      <c r="L40" s="136"/>
      <c r="M40" s="137"/>
      <c r="N40" s="161"/>
      <c r="O40" s="241"/>
      <c r="P40" s="136"/>
      <c r="Q40" s="137"/>
      <c r="R40" s="161"/>
      <c r="S40" s="241"/>
      <c r="T40" s="136"/>
      <c r="U40" s="137"/>
      <c r="V40" s="161"/>
      <c r="W40" s="241"/>
      <c r="X40" s="136"/>
      <c r="Y40" s="137"/>
      <c r="Z40" s="161"/>
      <c r="AA40" s="241"/>
      <c r="AB40" s="136"/>
      <c r="AC40" s="137"/>
      <c r="AD40" s="161"/>
      <c r="AE40" s="241"/>
      <c r="AF40" s="136"/>
      <c r="AG40" s="137"/>
      <c r="AH40" s="31"/>
      <c r="AI40" s="31"/>
      <c r="AJ40" s="138"/>
      <c r="AK40" s="138"/>
      <c r="AL40" s="138"/>
      <c r="AM40" s="138"/>
      <c r="AN40" s="138"/>
      <c r="AO40" s="138"/>
      <c r="AP40" s="138"/>
      <c r="AQ40" s="138"/>
    </row>
    <row r="41" spans="1:196" ht="13.15" x14ac:dyDescent="0.4">
      <c r="A41" s="172" t="s">
        <v>332</v>
      </c>
      <c r="B41" s="228">
        <v>464</v>
      </c>
      <c r="C41" s="333">
        <v>274</v>
      </c>
      <c r="D41" s="197">
        <v>2460</v>
      </c>
      <c r="E41" s="283">
        <v>561</v>
      </c>
      <c r="F41" s="228">
        <v>152</v>
      </c>
      <c r="G41" s="333">
        <v>411</v>
      </c>
      <c r="H41" s="197">
        <v>631</v>
      </c>
      <c r="I41" s="283">
        <v>676</v>
      </c>
      <c r="J41" s="228">
        <v>369</v>
      </c>
      <c r="K41" s="333">
        <v>340</v>
      </c>
      <c r="L41" s="197">
        <v>459</v>
      </c>
      <c r="M41" s="283">
        <v>926</v>
      </c>
      <c r="N41" s="228">
        <v>582</v>
      </c>
      <c r="O41" s="333">
        <v>486</v>
      </c>
      <c r="P41" s="197">
        <v>724</v>
      </c>
      <c r="Q41" s="283">
        <v>519</v>
      </c>
      <c r="R41" s="228">
        <v>577</v>
      </c>
      <c r="S41" s="333">
        <v>551</v>
      </c>
      <c r="T41" s="197">
        <v>863</v>
      </c>
      <c r="U41" s="283">
        <v>843</v>
      </c>
      <c r="V41" s="228">
        <v>381</v>
      </c>
      <c r="W41" s="333">
        <v>556</v>
      </c>
      <c r="X41" s="197">
        <v>788</v>
      </c>
      <c r="Y41" s="283">
        <v>962</v>
      </c>
      <c r="Z41" s="228">
        <v>627</v>
      </c>
      <c r="AA41" s="333">
        <v>577</v>
      </c>
      <c r="AB41" s="197">
        <v>593</v>
      </c>
      <c r="AC41" s="283">
        <v>292</v>
      </c>
      <c r="AD41" s="228">
        <v>427</v>
      </c>
      <c r="AE41" s="333">
        <v>696</v>
      </c>
      <c r="AF41" s="197">
        <v>509</v>
      </c>
      <c r="AG41" s="283">
        <v>793</v>
      </c>
      <c r="AH41" s="285"/>
      <c r="AI41" s="285"/>
      <c r="AJ41" s="286">
        <v>3759</v>
      </c>
      <c r="AK41" s="286">
        <f>SUM(F41:I41)</f>
        <v>1870</v>
      </c>
      <c r="AL41" s="286">
        <f>SUM(J41:M41)</f>
        <v>2094</v>
      </c>
      <c r="AM41" s="286">
        <f>SUM(N41:Q41)</f>
        <v>2311</v>
      </c>
      <c r="AN41" s="286">
        <f>SUM(R41:U41)</f>
        <v>2834</v>
      </c>
      <c r="AO41" s="286">
        <v>2687</v>
      </c>
      <c r="AP41" s="286">
        <v>2089</v>
      </c>
      <c r="AQ41" s="286">
        <f>SUM(AD41:AG41)</f>
        <v>2425</v>
      </c>
    </row>
    <row r="42" spans="1:196" s="361" customFormat="1" ht="13.5" thickBot="1" x14ac:dyDescent="0.45">
      <c r="A42" s="356" t="s">
        <v>333</v>
      </c>
      <c r="B42" s="357">
        <v>0.21</v>
      </c>
      <c r="C42" s="360">
        <v>0.12</v>
      </c>
      <c r="D42" s="358">
        <v>1.01</v>
      </c>
      <c r="E42" s="359">
        <v>0.23</v>
      </c>
      <c r="F42" s="357">
        <v>7.0000000000000007E-2</v>
      </c>
      <c r="G42" s="360">
        <v>0.19</v>
      </c>
      <c r="H42" s="358">
        <v>0.28000000000000003</v>
      </c>
      <c r="I42" s="359">
        <v>0.28999999999999998</v>
      </c>
      <c r="J42" s="357">
        <v>0.18</v>
      </c>
      <c r="K42" s="360">
        <v>0.19</v>
      </c>
      <c r="L42" s="358">
        <v>0.2</v>
      </c>
      <c r="M42" s="359">
        <v>0.37</v>
      </c>
      <c r="N42" s="357">
        <v>0.23</v>
      </c>
      <c r="O42" s="360">
        <v>0.19</v>
      </c>
      <c r="P42" s="358">
        <v>0.25</v>
      </c>
      <c r="Q42" s="359">
        <v>0.17</v>
      </c>
      <c r="R42" s="357">
        <v>0.18</v>
      </c>
      <c r="S42" s="360">
        <v>0.17</v>
      </c>
      <c r="T42" s="358">
        <v>0.25</v>
      </c>
      <c r="U42" s="359">
        <v>0.25</v>
      </c>
      <c r="V42" s="357">
        <v>0.12</v>
      </c>
      <c r="W42" s="360">
        <v>0.17</v>
      </c>
      <c r="X42" s="358">
        <v>0.23</v>
      </c>
      <c r="Y42" s="359">
        <v>0.28000000000000003</v>
      </c>
      <c r="Z42" s="357">
        <v>0.2</v>
      </c>
      <c r="AA42" s="360">
        <v>0.18</v>
      </c>
      <c r="AB42" s="358">
        <v>0.18</v>
      </c>
      <c r="AC42" s="359">
        <v>0.09</v>
      </c>
      <c r="AD42" s="357">
        <v>0.15</v>
      </c>
      <c r="AE42" s="360">
        <v>0.24</v>
      </c>
      <c r="AF42" s="358">
        <v>0.16041601008509296</v>
      </c>
      <c r="AG42" s="359">
        <v>0.24</v>
      </c>
      <c r="AH42" s="355"/>
      <c r="AI42"/>
      <c r="AJ42" s="173">
        <v>0.4</v>
      </c>
      <c r="AK42" s="173">
        <v>0.21</v>
      </c>
      <c r="AL42" s="173">
        <v>0.24</v>
      </c>
      <c r="AM42" s="173">
        <v>0.21</v>
      </c>
      <c r="AN42" s="173">
        <v>0.21</v>
      </c>
      <c r="AO42" s="173">
        <v>0.2</v>
      </c>
      <c r="AP42" s="173">
        <v>0.17</v>
      </c>
      <c r="AQ42" s="173">
        <v>0.19765262042546256</v>
      </c>
      <c r="AR42"/>
      <c r="AS42" s="427"/>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row>
    <row r="43" spans="1:196" ht="13.15" x14ac:dyDescent="0.4">
      <c r="A43" s="172"/>
      <c r="B43" s="362"/>
      <c r="C43" s="365"/>
      <c r="D43" s="363"/>
      <c r="E43" s="364"/>
      <c r="F43" s="362"/>
      <c r="G43" s="365"/>
      <c r="H43" s="363"/>
      <c r="I43" s="364"/>
      <c r="J43" s="362"/>
      <c r="K43" s="365"/>
      <c r="L43" s="363"/>
      <c r="M43" s="364"/>
      <c r="N43" s="362"/>
      <c r="O43" s="365"/>
      <c r="P43" s="363"/>
      <c r="Q43" s="364"/>
      <c r="R43" s="362"/>
      <c r="S43" s="365"/>
      <c r="T43" s="363"/>
      <c r="U43" s="364"/>
      <c r="V43" s="362"/>
      <c r="W43" s="365"/>
      <c r="X43" s="363"/>
      <c r="Y43" s="364"/>
      <c r="Z43" s="362"/>
      <c r="AA43" s="365"/>
      <c r="AB43" s="363"/>
      <c r="AC43" s="364"/>
      <c r="AD43" s="362"/>
      <c r="AE43" s="365"/>
      <c r="AF43" s="363"/>
      <c r="AG43" s="364"/>
      <c r="AH43" s="355"/>
      <c r="AJ43" s="355"/>
      <c r="AK43" s="355"/>
      <c r="AL43" s="355"/>
      <c r="AM43" s="355"/>
      <c r="AN43" s="355"/>
    </row>
    <row r="44" spans="1:196" ht="13.15" x14ac:dyDescent="0.4">
      <c r="A44" s="172" t="s">
        <v>334</v>
      </c>
      <c r="B44" s="362"/>
      <c r="C44" s="365"/>
      <c r="D44" s="363"/>
      <c r="E44" s="364"/>
      <c r="F44" s="228">
        <f>F41+E41+D41+C41</f>
        <v>3447</v>
      </c>
      <c r="G44" s="197">
        <f t="shared" ref="G44:H44" si="8">D41+E41+F41+G41</f>
        <v>3584</v>
      </c>
      <c r="H44" s="197">
        <f t="shared" si="8"/>
        <v>1755</v>
      </c>
      <c r="I44" s="283">
        <f>F41+G41+H41+I41</f>
        <v>1870</v>
      </c>
      <c r="J44" s="228">
        <f>J41+I41+H41+G41</f>
        <v>2087</v>
      </c>
      <c r="K44" s="197">
        <f t="shared" ref="K44:L44" si="9">H41+I41+J41+K41</f>
        <v>2016</v>
      </c>
      <c r="L44" s="197">
        <f t="shared" si="9"/>
        <v>1844</v>
      </c>
      <c r="M44" s="283">
        <f>J41+K41+L41+M41</f>
        <v>2094</v>
      </c>
      <c r="N44" s="228">
        <f>N41+M41+L41+K41</f>
        <v>2307</v>
      </c>
      <c r="O44" s="197">
        <f>L41+M41+N41+O41</f>
        <v>2453</v>
      </c>
      <c r="P44" s="197">
        <f>M41+N41+O41+P41</f>
        <v>2718</v>
      </c>
      <c r="Q44" s="283">
        <f>N41+O41+P41+Q41</f>
        <v>2311</v>
      </c>
      <c r="R44" s="228">
        <f>R41+Q41+P41+O41</f>
        <v>2306</v>
      </c>
      <c r="S44" s="197">
        <f>P41+Q41+R41+S41</f>
        <v>2371</v>
      </c>
      <c r="T44" s="197">
        <f>Q41+R41+S41+T41</f>
        <v>2510</v>
      </c>
      <c r="U44" s="283">
        <f>R41+S41+T41+U41</f>
        <v>2834</v>
      </c>
      <c r="V44" s="228">
        <v>2638</v>
      </c>
      <c r="W44" s="197">
        <v>2643</v>
      </c>
      <c r="X44" s="197">
        <v>2568</v>
      </c>
      <c r="Y44" s="283">
        <v>2687</v>
      </c>
      <c r="Z44" s="228">
        <v>2933</v>
      </c>
      <c r="AA44" s="197">
        <v>2954</v>
      </c>
      <c r="AB44" s="197">
        <v>2759</v>
      </c>
      <c r="AC44" s="283">
        <v>2089</v>
      </c>
      <c r="AD44" s="228">
        <v>1889</v>
      </c>
      <c r="AE44" s="197">
        <v>2008</v>
      </c>
      <c r="AF44" s="197">
        <v>1924</v>
      </c>
      <c r="AG44" s="283">
        <v>2425</v>
      </c>
      <c r="AH44" s="285"/>
      <c r="AJ44" s="355"/>
      <c r="AK44" s="355"/>
      <c r="AL44" s="355"/>
      <c r="AM44" s="355"/>
      <c r="AN44" s="355"/>
    </row>
    <row r="45" spans="1:196" ht="27" customHeight="1" thickBot="1" x14ac:dyDescent="0.45">
      <c r="A45" s="366" t="s">
        <v>335</v>
      </c>
      <c r="B45" s="229"/>
      <c r="C45" s="334"/>
      <c r="D45" s="198"/>
      <c r="E45" s="284"/>
      <c r="F45" s="229">
        <v>0.37</v>
      </c>
      <c r="G45" s="334">
        <v>0.39</v>
      </c>
      <c r="H45" s="198">
        <v>0.2</v>
      </c>
      <c r="I45" s="284">
        <v>0.21</v>
      </c>
      <c r="J45" s="229">
        <v>0.24</v>
      </c>
      <c r="K45" s="334">
        <v>0.24</v>
      </c>
      <c r="L45" s="198">
        <v>0.22</v>
      </c>
      <c r="M45" s="284">
        <v>0.24</v>
      </c>
      <c r="N45" s="229">
        <v>0.25</v>
      </c>
      <c r="O45" s="334">
        <v>0.25</v>
      </c>
      <c r="P45" s="198">
        <v>0.26</v>
      </c>
      <c r="Q45" s="284">
        <v>0.21</v>
      </c>
      <c r="R45" s="229">
        <v>0.2</v>
      </c>
      <c r="S45" s="334">
        <v>0.19</v>
      </c>
      <c r="T45" s="198">
        <v>0.19</v>
      </c>
      <c r="U45" s="284">
        <v>0.21</v>
      </c>
      <c r="V45" s="229">
        <v>0.2</v>
      </c>
      <c r="W45" s="334">
        <v>0.2</v>
      </c>
      <c r="X45" s="198">
        <v>0.2</v>
      </c>
      <c r="Y45" s="284">
        <v>0.2</v>
      </c>
      <c r="Z45" s="229">
        <v>0.22</v>
      </c>
      <c r="AA45" s="334">
        <v>0.23</v>
      </c>
      <c r="AB45" s="198">
        <v>0.21</v>
      </c>
      <c r="AC45" s="284">
        <v>0.17</v>
      </c>
      <c r="AD45" s="229">
        <v>0.15</v>
      </c>
      <c r="AE45" s="334">
        <v>0.17</v>
      </c>
      <c r="AF45" s="198">
        <v>0.15973432959734329</v>
      </c>
      <c r="AG45" s="284">
        <v>0.2</v>
      </c>
      <c r="AH45" s="355"/>
      <c r="AJ45" s="355"/>
      <c r="AK45" s="355"/>
      <c r="AL45" s="355"/>
      <c r="AM45" s="355"/>
      <c r="AN45" s="355"/>
    </row>
    <row r="47" spans="1:196" x14ac:dyDescent="0.35">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row>
    <row r="48" spans="1:196" x14ac:dyDescent="0.35">
      <c r="M48" s="348"/>
      <c r="O48" s="352"/>
      <c r="Q48" s="348"/>
      <c r="S48" s="352"/>
      <c r="U48" s="348"/>
      <c r="V48" s="348"/>
      <c r="W48" s="348"/>
      <c r="X48" s="348"/>
      <c r="Y48" s="348"/>
      <c r="Z48" s="348"/>
      <c r="AA48" s="348"/>
      <c r="AB48" s="348"/>
      <c r="AC48" s="348"/>
      <c r="AD48" s="348"/>
      <c r="AE48" s="348"/>
      <c r="AF48" s="427"/>
      <c r="AG48" s="348"/>
      <c r="AH48" s="348"/>
    </row>
    <row r="49" spans="1:34" x14ac:dyDescent="0.35">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c r="AD49" s="348"/>
      <c r="AE49" s="348"/>
      <c r="AF49" s="348"/>
      <c r="AG49" s="348"/>
      <c r="AH49" s="348"/>
    </row>
    <row r="50" spans="1:34" x14ac:dyDescent="0.35">
      <c r="X50" s="427"/>
      <c r="AB50" s="427"/>
    </row>
    <row r="52" spans="1:34" x14ac:dyDescent="0.35">
      <c r="A52" s="134"/>
      <c r="S52" s="348"/>
      <c r="T52" s="348"/>
    </row>
    <row r="53" spans="1:34" x14ac:dyDescent="0.35">
      <c r="A53" s="134"/>
    </row>
  </sheetData>
  <customSheetViews>
    <customSheetView guid="{8A3FF670-BD86-44B8-80D6-F16ECD9AAB7E}">
      <selection activeCell="L12" sqref="L12"/>
      <pageMargins left="0" right="0" top="0" bottom="0" header="0" footer="0"/>
      <pageSetup scale="68" orientation="portrait" verticalDpi="1200" r:id="rId1"/>
    </customSheetView>
    <customSheetView guid="{3AEE86E9-9A50-484E-B189-6F484AA443A0}">
      <selection activeCell="L12" sqref="L12"/>
      <pageMargins left="0" right="0" top="0" bottom="0" header="0" footer="0"/>
      <pageSetup scale="68" orientation="portrait" verticalDpi="1200" r:id="rId2"/>
    </customSheetView>
  </customSheetViews>
  <phoneticPr fontId="12" type="noConversion"/>
  <pageMargins left="0.2" right="0.2" top="0.5" bottom="0.5" header="0" footer="0"/>
  <pageSetup orientation="portrait" verticalDpi="1200" r:id="rId3"/>
  <customProperties>
    <customPr name="_pios_id" r:id="rId4"/>
  </customProperties>
  <ignoredErrors>
    <ignoredError sqref="AK20:AK30 AL16 AL5:AL14 AL20:AL26 AL28:AL30 AN29:AN30 AM28:AM31 AM5:AN13 AM20:AN27 AK37:AN41 AL15:AN15 AL17:AN18 AK5:AK18" formulaRange="1"/>
    <ignoredError sqref="N44 R44"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C666B-08DE-49D0-B8E6-6CB6EFEE0FAD}">
  <dimension ref="A1:U42"/>
  <sheetViews>
    <sheetView topLeftCell="A2" zoomScaleNormal="100" workbookViewId="0">
      <selection activeCell="D14" sqref="D14"/>
    </sheetView>
  </sheetViews>
  <sheetFormatPr defaultRowHeight="12.75" x14ac:dyDescent="0.35"/>
  <cols>
    <col min="1" max="1" width="38.3984375" bestFit="1" customWidth="1"/>
    <col min="2" max="5" width="9.1328125" customWidth="1"/>
    <col min="6" max="6" width="11.265625" customWidth="1"/>
    <col min="7" max="7" width="9.1328125" customWidth="1"/>
    <col min="8" max="8" width="11.265625" customWidth="1"/>
    <col min="9" max="9" width="8.73046875" customWidth="1"/>
    <col min="10" max="10" width="11.265625" bestFit="1" customWidth="1"/>
    <col min="11" max="13" width="8.73046875" customWidth="1"/>
    <col min="15" max="17" width="9.1328125" customWidth="1"/>
    <col min="19" max="21" width="9.1328125" customWidth="1"/>
  </cols>
  <sheetData>
    <row r="1" spans="1:21" ht="13.9" x14ac:dyDescent="0.4">
      <c r="A1" s="1" t="s">
        <v>43</v>
      </c>
      <c r="B1" s="1"/>
      <c r="C1" s="1"/>
      <c r="D1" s="1"/>
      <c r="E1" s="1"/>
      <c r="G1" s="1"/>
    </row>
    <row r="2" spans="1:21" x14ac:dyDescent="0.35">
      <c r="K2" s="43"/>
    </row>
    <row r="3" spans="1:21" ht="14.25" thickBot="1" x14ac:dyDescent="0.45">
      <c r="A3" s="1" t="s">
        <v>336</v>
      </c>
      <c r="B3" s="1"/>
      <c r="C3" s="1"/>
      <c r="D3" s="1"/>
      <c r="E3" s="1"/>
      <c r="G3" s="1"/>
    </row>
    <row r="4" spans="1:21" ht="13.5" thickBot="1" x14ac:dyDescent="0.4">
      <c r="A4" s="8" t="s">
        <v>46</v>
      </c>
      <c r="B4" s="159" t="s">
        <v>59</v>
      </c>
      <c r="C4" s="160" t="s">
        <v>60</v>
      </c>
      <c r="D4" s="160" t="s">
        <v>61</v>
      </c>
      <c r="E4" s="73" t="s">
        <v>62</v>
      </c>
      <c r="F4" s="159" t="s">
        <v>63</v>
      </c>
      <c r="G4" s="160" t="s">
        <v>64</v>
      </c>
      <c r="H4" s="160" t="s">
        <v>65</v>
      </c>
      <c r="I4" s="160" t="s">
        <v>66</v>
      </c>
      <c r="J4" s="159" t="s">
        <v>67</v>
      </c>
      <c r="K4" s="160" t="s">
        <v>68</v>
      </c>
      <c r="L4" s="160" t="s">
        <v>69</v>
      </c>
      <c r="M4" s="73" t="s">
        <v>70</v>
      </c>
      <c r="N4" s="159" t="s">
        <v>71</v>
      </c>
      <c r="O4" s="160" t="s">
        <v>72</v>
      </c>
      <c r="P4" s="160" t="s">
        <v>73</v>
      </c>
      <c r="Q4" s="73" t="s">
        <v>74</v>
      </c>
      <c r="R4" s="159" t="s">
        <v>75</v>
      </c>
      <c r="S4" s="160" t="s">
        <v>76</v>
      </c>
      <c r="T4" s="160" t="s">
        <v>77</v>
      </c>
      <c r="U4" s="73" t="s">
        <v>78</v>
      </c>
    </row>
    <row r="5" spans="1:21" x14ac:dyDescent="0.35">
      <c r="A5" s="306" t="s">
        <v>337</v>
      </c>
      <c r="B5" s="298">
        <v>71</v>
      </c>
      <c r="C5" s="287">
        <v>91</v>
      </c>
      <c r="D5" s="194">
        <v>96</v>
      </c>
      <c r="E5" s="308">
        <v>107</v>
      </c>
      <c r="F5" s="298">
        <v>118</v>
      </c>
      <c r="G5" s="287">
        <v>129</v>
      </c>
      <c r="H5" s="287">
        <v>140</v>
      </c>
      <c r="I5" s="287">
        <v>151</v>
      </c>
      <c r="J5" s="298">
        <v>135</v>
      </c>
      <c r="K5" s="287">
        <v>122</v>
      </c>
      <c r="L5" s="287">
        <v>121</v>
      </c>
      <c r="M5" s="287">
        <v>113</v>
      </c>
      <c r="N5" s="298">
        <v>104</v>
      </c>
      <c r="O5" s="287">
        <v>103</v>
      </c>
      <c r="P5" s="287">
        <v>101</v>
      </c>
      <c r="Q5" s="287">
        <v>109</v>
      </c>
      <c r="R5" s="298">
        <v>102</v>
      </c>
      <c r="S5" s="287">
        <v>91</v>
      </c>
      <c r="T5" s="287">
        <v>108</v>
      </c>
      <c r="U5" s="287">
        <v>92</v>
      </c>
    </row>
    <row r="6" spans="1:21" x14ac:dyDescent="0.35">
      <c r="A6" s="307" t="s">
        <v>338</v>
      </c>
      <c r="B6" s="309">
        <v>795</v>
      </c>
      <c r="C6" s="288">
        <v>882</v>
      </c>
      <c r="D6" s="40">
        <v>894</v>
      </c>
      <c r="E6" s="41">
        <v>846</v>
      </c>
      <c r="F6" s="309">
        <v>974</v>
      </c>
      <c r="G6" s="288">
        <v>1083</v>
      </c>
      <c r="H6" s="288">
        <v>1133</v>
      </c>
      <c r="I6" s="288">
        <v>1308</v>
      </c>
      <c r="J6" s="309">
        <v>1522</v>
      </c>
      <c r="K6" s="288">
        <v>1664</v>
      </c>
      <c r="L6" s="288">
        <v>1664</v>
      </c>
      <c r="M6" s="288">
        <v>1633</v>
      </c>
      <c r="N6" s="309">
        <v>1580</v>
      </c>
      <c r="O6" s="288">
        <v>1568</v>
      </c>
      <c r="P6" s="288">
        <v>1560</v>
      </c>
      <c r="Q6" s="288">
        <v>1576</v>
      </c>
      <c r="R6" s="309">
        <v>1638</v>
      </c>
      <c r="S6" s="288">
        <v>1647</v>
      </c>
      <c r="T6" s="288">
        <v>1666</v>
      </c>
      <c r="U6" s="288">
        <v>1778</v>
      </c>
    </row>
    <row r="7" spans="1:21" x14ac:dyDescent="0.35">
      <c r="A7" s="306" t="s">
        <v>339</v>
      </c>
      <c r="B7" s="309">
        <v>190</v>
      </c>
      <c r="C7" s="288">
        <v>143</v>
      </c>
      <c r="D7" s="40">
        <v>183</v>
      </c>
      <c r="E7" s="41">
        <v>236</v>
      </c>
      <c r="F7" s="309">
        <v>219</v>
      </c>
      <c r="G7" s="288">
        <v>250</v>
      </c>
      <c r="H7" s="288">
        <v>308</v>
      </c>
      <c r="I7" s="288">
        <v>323</v>
      </c>
      <c r="J7" s="309">
        <v>320</v>
      </c>
      <c r="K7" s="288">
        <v>321</v>
      </c>
      <c r="L7" s="288">
        <v>355</v>
      </c>
      <c r="M7" s="288">
        <v>388</v>
      </c>
      <c r="N7" s="309">
        <v>418</v>
      </c>
      <c r="O7" s="288">
        <v>477</v>
      </c>
      <c r="P7" s="288">
        <v>573</v>
      </c>
      <c r="Q7" s="288">
        <v>671</v>
      </c>
      <c r="R7" s="309">
        <v>610</v>
      </c>
      <c r="S7" s="288">
        <v>623</v>
      </c>
      <c r="T7" s="288">
        <v>678</v>
      </c>
      <c r="U7" s="288">
        <v>707</v>
      </c>
    </row>
    <row r="8" spans="1:21" ht="13.5" thickBot="1" x14ac:dyDescent="0.45">
      <c r="A8" s="369" t="s">
        <v>340</v>
      </c>
      <c r="B8" s="224">
        <v>1056</v>
      </c>
      <c r="C8" s="289">
        <v>1116</v>
      </c>
      <c r="D8" s="94">
        <v>1173</v>
      </c>
      <c r="E8" s="54">
        <v>1189</v>
      </c>
      <c r="F8" s="224">
        <f>SUM(F5:F7)</f>
        <v>1311</v>
      </c>
      <c r="G8" s="289">
        <f>SUM(G5:G7)</f>
        <v>1462</v>
      </c>
      <c r="H8" s="289">
        <f t="shared" ref="H8:I8" si="0">SUM(H5:H7)</f>
        <v>1581</v>
      </c>
      <c r="I8" s="289">
        <f t="shared" si="0"/>
        <v>1782</v>
      </c>
      <c r="J8" s="224">
        <v>1977</v>
      </c>
      <c r="K8" s="289">
        <v>2107</v>
      </c>
      <c r="L8" s="289">
        <v>2140</v>
      </c>
      <c r="M8" s="289">
        <v>2134</v>
      </c>
      <c r="N8" s="224">
        <v>2102</v>
      </c>
      <c r="O8" s="289">
        <v>2148</v>
      </c>
      <c r="P8" s="289">
        <v>2234</v>
      </c>
      <c r="Q8" s="289">
        <v>2356</v>
      </c>
      <c r="R8" s="224">
        <v>2350</v>
      </c>
      <c r="S8" s="289">
        <v>2361</v>
      </c>
      <c r="T8" s="289">
        <v>2452</v>
      </c>
      <c r="U8" s="289">
        <v>2577</v>
      </c>
    </row>
    <row r="10" spans="1:21" ht="13.9" x14ac:dyDescent="0.4">
      <c r="A10" s="1" t="s">
        <v>341</v>
      </c>
    </row>
    <row r="12" spans="1:21" ht="13.15" thickBot="1" x14ac:dyDescent="0.4">
      <c r="A12" s="379" t="s">
        <v>342</v>
      </c>
    </row>
    <row r="13" spans="1:21" ht="14.25" thickBot="1" x14ac:dyDescent="0.45">
      <c r="A13" s="8"/>
      <c r="B13" s="159" t="s">
        <v>59</v>
      </c>
      <c r="C13" s="160" t="s">
        <v>60</v>
      </c>
      <c r="D13" s="160" t="s">
        <v>61</v>
      </c>
      <c r="E13" s="73" t="s">
        <v>62</v>
      </c>
      <c r="F13" s="159" t="s">
        <v>63</v>
      </c>
      <c r="G13" s="160" t="s">
        <v>64</v>
      </c>
      <c r="H13" s="160" t="s">
        <v>65</v>
      </c>
      <c r="I13" s="73" t="s">
        <v>66</v>
      </c>
      <c r="K13" s="1"/>
      <c r="L13" s="1"/>
      <c r="M13" s="1"/>
    </row>
    <row r="14" spans="1:21" ht="13.9" x14ac:dyDescent="0.4">
      <c r="A14" s="306" t="s">
        <v>343</v>
      </c>
      <c r="B14" s="298">
        <v>81</v>
      </c>
      <c r="C14" s="287">
        <v>88</v>
      </c>
      <c r="D14" s="194">
        <v>85</v>
      </c>
      <c r="E14" s="308">
        <v>83</v>
      </c>
      <c r="F14" s="298">
        <v>89</v>
      </c>
      <c r="G14" s="287">
        <v>94</v>
      </c>
      <c r="H14" s="287">
        <v>99</v>
      </c>
      <c r="I14" s="308">
        <v>116</v>
      </c>
      <c r="K14" s="1"/>
      <c r="L14" s="1"/>
      <c r="M14" s="1"/>
    </row>
    <row r="15" spans="1:21" ht="13.9" x14ac:dyDescent="0.4">
      <c r="A15" s="307" t="s">
        <v>344</v>
      </c>
      <c r="B15" s="381">
        <v>79</v>
      </c>
      <c r="C15" s="371">
        <v>92</v>
      </c>
      <c r="D15" s="382">
        <v>83</v>
      </c>
      <c r="E15" s="372">
        <v>87</v>
      </c>
      <c r="F15" s="381">
        <v>93</v>
      </c>
      <c r="G15" s="371">
        <v>94</v>
      </c>
      <c r="H15" s="371">
        <v>96</v>
      </c>
      <c r="I15" s="372">
        <v>105</v>
      </c>
      <c r="K15" s="1"/>
      <c r="L15" s="1"/>
      <c r="M15" s="1"/>
    </row>
    <row r="16" spans="1:21" ht="13.9" x14ac:dyDescent="0.4">
      <c r="A16" s="306" t="s">
        <v>345</v>
      </c>
      <c r="B16" s="381">
        <v>30</v>
      </c>
      <c r="C16" s="371">
        <v>35</v>
      </c>
      <c r="D16" s="382">
        <v>31</v>
      </c>
      <c r="E16" s="372">
        <v>28</v>
      </c>
      <c r="F16" s="383">
        <v>27</v>
      </c>
      <c r="G16" s="371">
        <v>27</v>
      </c>
      <c r="H16" s="371">
        <v>27</v>
      </c>
      <c r="I16" s="372">
        <v>26</v>
      </c>
      <c r="K16" s="1"/>
      <c r="L16" s="1"/>
      <c r="M16" s="1"/>
    </row>
    <row r="17" spans="1:21" ht="14.25" thickBot="1" x14ac:dyDescent="0.45">
      <c r="A17" s="367" t="s">
        <v>346</v>
      </c>
      <c r="B17" s="384">
        <v>32</v>
      </c>
      <c r="C17" s="373">
        <v>31</v>
      </c>
      <c r="D17" s="385">
        <v>33</v>
      </c>
      <c r="E17" s="374">
        <v>24</v>
      </c>
      <c r="F17" s="386">
        <v>23</v>
      </c>
      <c r="G17" s="373">
        <v>27</v>
      </c>
      <c r="H17" s="373">
        <v>30</v>
      </c>
      <c r="I17" s="374">
        <v>37</v>
      </c>
      <c r="K17" s="1"/>
      <c r="L17" s="1"/>
      <c r="M17" s="1"/>
    </row>
    <row r="18" spans="1:21" ht="13.9" x14ac:dyDescent="0.4">
      <c r="A18" s="380"/>
      <c r="B18" s="387"/>
      <c r="C18" s="388"/>
      <c r="D18" s="388"/>
      <c r="E18" s="388"/>
      <c r="F18" s="388"/>
      <c r="G18" s="388"/>
      <c r="H18" s="388"/>
      <c r="I18" s="388"/>
      <c r="K18" s="1"/>
      <c r="L18" s="1"/>
      <c r="M18" s="1"/>
    </row>
    <row r="19" spans="1:21" ht="14.25" thickBot="1" x14ac:dyDescent="0.45">
      <c r="A19" s="379" t="s">
        <v>347</v>
      </c>
      <c r="B19" s="1"/>
      <c r="C19" s="1"/>
      <c r="D19" s="1"/>
      <c r="E19" s="1"/>
      <c r="G19" s="1"/>
      <c r="H19" s="1"/>
      <c r="I19" s="1"/>
      <c r="K19" s="1"/>
      <c r="L19" s="1"/>
      <c r="M19" s="1"/>
    </row>
    <row r="20" spans="1:21" ht="13.5" thickBot="1" x14ac:dyDescent="0.4">
      <c r="A20" s="8"/>
      <c r="B20" s="159" t="s">
        <v>59</v>
      </c>
      <c r="C20" s="160" t="s">
        <v>60</v>
      </c>
      <c r="D20" s="160" t="s">
        <v>61</v>
      </c>
      <c r="E20" s="73" t="s">
        <v>62</v>
      </c>
      <c r="F20" s="159" t="s">
        <v>63</v>
      </c>
      <c r="G20" s="160" t="s">
        <v>64</v>
      </c>
      <c r="H20" s="160" t="s">
        <v>65</v>
      </c>
      <c r="I20" s="160" t="s">
        <v>66</v>
      </c>
      <c r="J20" s="159" t="s">
        <v>67</v>
      </c>
      <c r="K20" s="160" t="s">
        <v>68</v>
      </c>
      <c r="L20" s="160" t="s">
        <v>69</v>
      </c>
      <c r="M20" s="73" t="s">
        <v>70</v>
      </c>
      <c r="N20" s="159" t="s">
        <v>71</v>
      </c>
      <c r="O20" s="160" t="s">
        <v>72</v>
      </c>
      <c r="P20" s="160" t="s">
        <v>73</v>
      </c>
      <c r="Q20" s="73" t="s">
        <v>74</v>
      </c>
      <c r="R20" s="159" t="s">
        <v>75</v>
      </c>
      <c r="S20" s="160" t="s">
        <v>76</v>
      </c>
      <c r="T20" s="160" t="s">
        <v>77</v>
      </c>
      <c r="U20" s="73" t="s">
        <v>78</v>
      </c>
    </row>
    <row r="21" spans="1:21" x14ac:dyDescent="0.35">
      <c r="A21" s="306" t="s">
        <v>343</v>
      </c>
      <c r="B21" s="298">
        <v>81</v>
      </c>
      <c r="C21" s="287">
        <v>88</v>
      </c>
      <c r="D21" s="194">
        <v>85</v>
      </c>
      <c r="E21" s="308">
        <v>83</v>
      </c>
      <c r="F21" s="298">
        <v>89</v>
      </c>
      <c r="G21" s="287">
        <v>94</v>
      </c>
      <c r="H21" s="287">
        <v>99</v>
      </c>
      <c r="I21" s="287">
        <v>116</v>
      </c>
      <c r="J21" s="298">
        <v>135</v>
      </c>
      <c r="K21" s="287">
        <v>137</v>
      </c>
      <c r="L21" s="287">
        <v>134</v>
      </c>
      <c r="M21" s="287">
        <v>132</v>
      </c>
      <c r="N21" s="298">
        <v>144</v>
      </c>
      <c r="O21" s="287">
        <v>148</v>
      </c>
      <c r="P21" s="287">
        <v>149</v>
      </c>
      <c r="Q21" s="287">
        <v>151</v>
      </c>
      <c r="R21" s="298">
        <v>169</v>
      </c>
      <c r="S21" s="287">
        <v>158</v>
      </c>
      <c r="T21" s="287">
        <v>161</v>
      </c>
      <c r="U21" s="287">
        <v>154</v>
      </c>
    </row>
    <row r="22" spans="1:21" x14ac:dyDescent="0.35">
      <c r="A22" s="307" t="s">
        <v>344</v>
      </c>
      <c r="B22" s="381">
        <v>76</v>
      </c>
      <c r="C22" s="371">
        <v>88</v>
      </c>
      <c r="D22" s="382">
        <v>76</v>
      </c>
      <c r="E22" s="372">
        <v>77</v>
      </c>
      <c r="F22" s="381">
        <v>77</v>
      </c>
      <c r="G22" s="371">
        <v>77</v>
      </c>
      <c r="H22" s="371">
        <v>69</v>
      </c>
      <c r="I22" s="371">
        <v>77</v>
      </c>
      <c r="J22" s="309">
        <v>68</v>
      </c>
      <c r="K22" s="288">
        <v>63</v>
      </c>
      <c r="L22" s="288">
        <v>60</v>
      </c>
      <c r="M22" s="288">
        <v>72</v>
      </c>
      <c r="N22" s="309">
        <v>65</v>
      </c>
      <c r="O22" s="288">
        <v>64</v>
      </c>
      <c r="P22" s="288">
        <v>60</v>
      </c>
      <c r="Q22" s="288">
        <v>65</v>
      </c>
      <c r="R22" s="309">
        <v>62</v>
      </c>
      <c r="S22" s="288">
        <v>60</v>
      </c>
      <c r="T22" s="288">
        <v>58</v>
      </c>
      <c r="U22" s="288">
        <v>60</v>
      </c>
    </row>
    <row r="23" spans="1:21" x14ac:dyDescent="0.35">
      <c r="A23" s="306" t="s">
        <v>345</v>
      </c>
      <c r="B23" s="381">
        <v>30</v>
      </c>
      <c r="C23" s="371">
        <v>35</v>
      </c>
      <c r="D23" s="382">
        <v>31</v>
      </c>
      <c r="E23" s="372">
        <v>28</v>
      </c>
      <c r="F23" s="383">
        <v>27</v>
      </c>
      <c r="G23" s="371">
        <v>27</v>
      </c>
      <c r="H23" s="371">
        <v>27</v>
      </c>
      <c r="I23" s="371">
        <v>26</v>
      </c>
      <c r="J23" s="309">
        <v>31</v>
      </c>
      <c r="K23" s="288">
        <v>29</v>
      </c>
      <c r="L23" s="288">
        <v>25</v>
      </c>
      <c r="M23" s="288">
        <v>24</v>
      </c>
      <c r="N23" s="309">
        <v>26</v>
      </c>
      <c r="O23" s="288">
        <v>27</v>
      </c>
      <c r="P23" s="288">
        <v>30</v>
      </c>
      <c r="Q23" s="288">
        <v>30</v>
      </c>
      <c r="R23" s="309">
        <v>34</v>
      </c>
      <c r="S23" s="288">
        <v>33</v>
      </c>
      <c r="T23" s="288">
        <v>31</v>
      </c>
      <c r="U23" s="288">
        <v>29</v>
      </c>
    </row>
    <row r="24" spans="1:21" ht="13.15" thickBot="1" x14ac:dyDescent="0.4">
      <c r="A24" s="367" t="s">
        <v>346</v>
      </c>
      <c r="B24" s="384">
        <v>35</v>
      </c>
      <c r="C24" s="373">
        <v>35</v>
      </c>
      <c r="D24" s="385">
        <v>40</v>
      </c>
      <c r="E24" s="374">
        <v>34</v>
      </c>
      <c r="F24" s="386">
        <v>39</v>
      </c>
      <c r="G24" s="373">
        <v>44</v>
      </c>
      <c r="H24" s="373">
        <v>57</v>
      </c>
      <c r="I24" s="374">
        <v>65</v>
      </c>
      <c r="J24" s="389">
        <v>98</v>
      </c>
      <c r="K24" s="368">
        <v>103</v>
      </c>
      <c r="L24" s="368">
        <v>99</v>
      </c>
      <c r="M24" s="374">
        <v>84</v>
      </c>
      <c r="N24" s="389">
        <v>105</v>
      </c>
      <c r="O24" s="368">
        <v>111</v>
      </c>
      <c r="P24" s="368">
        <v>119</v>
      </c>
      <c r="Q24" s="374">
        <v>116</v>
      </c>
      <c r="R24" s="389">
        <v>141</v>
      </c>
      <c r="S24" s="368">
        <v>131</v>
      </c>
      <c r="T24" s="368">
        <v>134</v>
      </c>
      <c r="U24" s="368">
        <v>123</v>
      </c>
    </row>
    <row r="26" spans="1:21" ht="26.1" customHeight="1" x14ac:dyDescent="0.35">
      <c r="A26" s="581" t="s">
        <v>348</v>
      </c>
      <c r="B26" s="581"/>
      <c r="C26" s="581"/>
      <c r="D26" s="581"/>
      <c r="E26" s="581"/>
      <c r="F26" s="581"/>
      <c r="G26" s="581"/>
      <c r="H26" s="581"/>
      <c r="I26" s="581"/>
      <c r="J26" s="581"/>
    </row>
    <row r="27" spans="1:21" ht="8.1" customHeight="1" thickBot="1" x14ac:dyDescent="0.4"/>
    <row r="28" spans="1:21" ht="13.5" thickBot="1" x14ac:dyDescent="0.4">
      <c r="A28" t="s">
        <v>349</v>
      </c>
      <c r="B28" s="159" t="s">
        <v>59</v>
      </c>
      <c r="C28" s="160" t="s">
        <v>60</v>
      </c>
      <c r="D28" s="160" t="s">
        <v>61</v>
      </c>
      <c r="E28" s="73" t="s">
        <v>62</v>
      </c>
      <c r="F28" s="159" t="s">
        <v>63</v>
      </c>
      <c r="G28" s="160" t="s">
        <v>64</v>
      </c>
      <c r="H28" s="160" t="s">
        <v>65</v>
      </c>
      <c r="I28" s="73" t="s">
        <v>66</v>
      </c>
    </row>
    <row r="29" spans="1:21" x14ac:dyDescent="0.35">
      <c r="B29" s="375">
        <v>3.1507133884989145</v>
      </c>
      <c r="C29" s="376">
        <v>3.7073828285649597</v>
      </c>
      <c r="D29" s="377">
        <v>6.9597246356049141</v>
      </c>
      <c r="E29" s="378">
        <v>9.863711973231986</v>
      </c>
      <c r="F29" s="375">
        <v>16.233767768635062</v>
      </c>
      <c r="G29" s="376">
        <v>17.211435400101351</v>
      </c>
      <c r="H29" s="376">
        <v>26.508521585024539</v>
      </c>
      <c r="I29" s="378">
        <v>28.12263289203193</v>
      </c>
    </row>
    <row r="31" spans="1:21" ht="14.25" thickBot="1" x14ac:dyDescent="0.45">
      <c r="A31" s="1" t="s">
        <v>350</v>
      </c>
      <c r="B31" s="43"/>
      <c r="C31" s="43"/>
      <c r="D31" s="43"/>
    </row>
    <row r="32" spans="1:21" ht="13.5" thickBot="1" x14ac:dyDescent="0.4">
      <c r="A32" s="12" t="s">
        <v>46</v>
      </c>
      <c r="B32" s="159" t="s">
        <v>59</v>
      </c>
      <c r="C32" s="160" t="s">
        <v>60</v>
      </c>
      <c r="D32" s="160" t="s">
        <v>61</v>
      </c>
      <c r="E32" s="73" t="s">
        <v>62</v>
      </c>
      <c r="F32" s="159" t="s">
        <v>63</v>
      </c>
      <c r="G32" s="160" t="s">
        <v>64</v>
      </c>
      <c r="H32" s="160" t="s">
        <v>65</v>
      </c>
      <c r="I32" s="160" t="s">
        <v>66</v>
      </c>
      <c r="J32" s="159" t="s">
        <v>67</v>
      </c>
      <c r="K32" s="160" t="s">
        <v>68</v>
      </c>
      <c r="L32" s="160" t="s">
        <v>69</v>
      </c>
      <c r="M32" s="73" t="s">
        <v>70</v>
      </c>
      <c r="N32" s="159" t="s">
        <v>71</v>
      </c>
      <c r="O32" s="160" t="s">
        <v>72</v>
      </c>
      <c r="P32" s="160" t="s">
        <v>73</v>
      </c>
      <c r="Q32" s="73" t="s">
        <v>74</v>
      </c>
      <c r="R32" s="159" t="s">
        <v>75</v>
      </c>
      <c r="S32" s="160" t="s">
        <v>76</v>
      </c>
      <c r="T32" s="160" t="s">
        <v>77</v>
      </c>
      <c r="U32" s="73" t="s">
        <v>78</v>
      </c>
    </row>
    <row r="33" spans="1:21" x14ac:dyDescent="0.35">
      <c r="A33" s="135" t="s">
        <v>143</v>
      </c>
      <c r="B33" s="438">
        <v>7611</v>
      </c>
      <c r="C33" s="439">
        <v>9591</v>
      </c>
      <c r="D33" s="440">
        <v>8594</v>
      </c>
      <c r="E33" s="441">
        <v>10572</v>
      </c>
      <c r="F33" s="438">
        <v>10573</v>
      </c>
      <c r="G33" s="439">
        <v>11160</v>
      </c>
      <c r="H33" s="440">
        <v>11162</v>
      </c>
      <c r="I33" s="441">
        <v>11165</v>
      </c>
      <c r="J33" s="438">
        <v>10169</v>
      </c>
      <c r="K33" s="439">
        <v>10171</v>
      </c>
      <c r="L33" s="440">
        <v>10173</v>
      </c>
      <c r="M33" s="441">
        <v>10175</v>
      </c>
      <c r="N33" s="438">
        <v>10178</v>
      </c>
      <c r="O33" s="439">
        <v>9681</v>
      </c>
      <c r="P33" s="440">
        <v>9683</v>
      </c>
      <c r="Q33" s="441">
        <v>10354</v>
      </c>
      <c r="R33" s="438">
        <v>10226</v>
      </c>
      <c r="S33" s="439">
        <v>9479</v>
      </c>
      <c r="T33" s="440">
        <v>10971</v>
      </c>
      <c r="U33" s="441">
        <v>10972</v>
      </c>
    </row>
    <row r="34" spans="1:21" x14ac:dyDescent="0.35">
      <c r="A34" s="135" t="s">
        <v>140</v>
      </c>
      <c r="B34" s="434">
        <v>0</v>
      </c>
      <c r="C34" s="436">
        <v>0</v>
      </c>
      <c r="D34" s="432">
        <v>999</v>
      </c>
      <c r="E34" s="430">
        <v>0</v>
      </c>
      <c r="F34" s="434">
        <v>0</v>
      </c>
      <c r="G34" s="436">
        <v>0</v>
      </c>
      <c r="H34" s="432">
        <v>0</v>
      </c>
      <c r="I34" s="430">
        <v>0</v>
      </c>
      <c r="J34" s="434">
        <v>998</v>
      </c>
      <c r="K34" s="436">
        <v>999</v>
      </c>
      <c r="L34" s="432">
        <v>999</v>
      </c>
      <c r="M34" s="430">
        <v>1000</v>
      </c>
      <c r="N34" s="434">
        <v>0</v>
      </c>
      <c r="O34" s="436">
        <v>499</v>
      </c>
      <c r="P34" s="432">
        <v>499</v>
      </c>
      <c r="Q34" s="430">
        <v>500</v>
      </c>
      <c r="R34" s="434">
        <v>1499</v>
      </c>
      <c r="S34" s="436">
        <v>1999</v>
      </c>
      <c r="T34" s="432">
        <v>1264</v>
      </c>
      <c r="U34" s="430">
        <v>1250</v>
      </c>
    </row>
    <row r="35" spans="1:21" x14ac:dyDescent="0.35">
      <c r="A35" s="135" t="s">
        <v>351</v>
      </c>
      <c r="B35" s="435">
        <v>7611</v>
      </c>
      <c r="C35" s="437">
        <f t="shared" ref="C35:O35" si="1">SUM(C33:C34)</f>
        <v>9591</v>
      </c>
      <c r="D35" s="433">
        <f t="shared" si="1"/>
        <v>9593</v>
      </c>
      <c r="E35" s="431">
        <f t="shared" si="1"/>
        <v>10572</v>
      </c>
      <c r="F35" s="435">
        <f t="shared" si="1"/>
        <v>10573</v>
      </c>
      <c r="G35" s="437">
        <f t="shared" si="1"/>
        <v>11160</v>
      </c>
      <c r="H35" s="433">
        <f t="shared" si="1"/>
        <v>11162</v>
      </c>
      <c r="I35" s="431">
        <f t="shared" si="1"/>
        <v>11165</v>
      </c>
      <c r="J35" s="435">
        <f t="shared" si="1"/>
        <v>11167</v>
      </c>
      <c r="K35" s="437">
        <f t="shared" si="1"/>
        <v>11170</v>
      </c>
      <c r="L35" s="433">
        <f t="shared" si="1"/>
        <v>11172</v>
      </c>
      <c r="M35" s="431">
        <f t="shared" si="1"/>
        <v>11175</v>
      </c>
      <c r="N35" s="435">
        <f t="shared" si="1"/>
        <v>10178</v>
      </c>
      <c r="O35" s="437">
        <f t="shared" si="1"/>
        <v>10180</v>
      </c>
      <c r="P35" s="433">
        <v>10182</v>
      </c>
      <c r="Q35" s="431">
        <v>10854</v>
      </c>
      <c r="R35" s="435">
        <v>11725</v>
      </c>
      <c r="S35" s="437">
        <v>11478</v>
      </c>
      <c r="T35" s="433">
        <v>12235</v>
      </c>
      <c r="U35" s="431">
        <v>12222</v>
      </c>
    </row>
    <row r="36" spans="1:21" ht="4.5" customHeight="1" x14ac:dyDescent="0.35">
      <c r="A36" s="135"/>
      <c r="B36" s="434"/>
      <c r="C36" s="436"/>
      <c r="D36" s="432"/>
      <c r="E36" s="430"/>
      <c r="F36" s="434"/>
      <c r="G36" s="436"/>
      <c r="H36" s="432"/>
      <c r="I36" s="430"/>
      <c r="J36" s="434"/>
      <c r="K36" s="436"/>
      <c r="L36" s="432"/>
      <c r="M36" s="430"/>
      <c r="N36" s="434"/>
      <c r="O36" s="436"/>
      <c r="P36" s="432"/>
      <c r="Q36" s="430"/>
      <c r="R36" s="434"/>
      <c r="S36" s="436"/>
      <c r="T36" s="432"/>
      <c r="U36" s="430"/>
    </row>
    <row r="37" spans="1:21" x14ac:dyDescent="0.35">
      <c r="A37" s="13" t="s">
        <v>116</v>
      </c>
      <c r="B37" s="434">
        <v>1842</v>
      </c>
      <c r="C37" s="436">
        <v>2910</v>
      </c>
      <c r="D37" s="432">
        <v>2303</v>
      </c>
      <c r="E37" s="430">
        <v>2830</v>
      </c>
      <c r="F37" s="434">
        <v>2683</v>
      </c>
      <c r="G37" s="436">
        <v>3545</v>
      </c>
      <c r="H37" s="432">
        <v>3759</v>
      </c>
      <c r="I37" s="430">
        <v>3845</v>
      </c>
      <c r="J37" s="434">
        <v>3930</v>
      </c>
      <c r="K37" s="436">
        <v>3863</v>
      </c>
      <c r="L37" s="432">
        <v>4042</v>
      </c>
      <c r="M37" s="430">
        <v>3862</v>
      </c>
      <c r="N37" s="434">
        <v>2908</v>
      </c>
      <c r="O37" s="436">
        <v>2859</v>
      </c>
      <c r="P37" s="432">
        <v>2748</v>
      </c>
      <c r="Q37" s="430">
        <v>3292</v>
      </c>
      <c r="R37" s="434">
        <v>3988</v>
      </c>
      <c r="S37" s="436">
        <v>3170</v>
      </c>
      <c r="T37" s="432">
        <v>3454</v>
      </c>
      <c r="U37" s="430">
        <v>3267</v>
      </c>
    </row>
    <row r="38" spans="1:21" x14ac:dyDescent="0.35">
      <c r="A38" s="13" t="s">
        <v>117</v>
      </c>
      <c r="B38" s="434">
        <v>0</v>
      </c>
      <c r="C38" s="436"/>
      <c r="D38" s="432"/>
      <c r="E38" s="430"/>
      <c r="F38" s="434"/>
      <c r="G38" s="436"/>
      <c r="H38" s="432"/>
      <c r="I38" s="430"/>
      <c r="J38" s="434"/>
      <c r="K38" s="436"/>
      <c r="L38" s="432"/>
      <c r="M38" s="430">
        <v>409</v>
      </c>
      <c r="N38" s="434">
        <v>400</v>
      </c>
      <c r="O38" s="436">
        <v>400</v>
      </c>
      <c r="P38" s="432">
        <v>400</v>
      </c>
      <c r="Q38" s="430">
        <v>0</v>
      </c>
      <c r="R38" s="434">
        <v>0</v>
      </c>
      <c r="S38" s="436">
        <v>0</v>
      </c>
      <c r="T38" s="432">
        <v>500</v>
      </c>
      <c r="U38" s="430">
        <v>0</v>
      </c>
    </row>
    <row r="39" spans="1:21" ht="25.5" x14ac:dyDescent="0.35">
      <c r="A39" s="429" t="s">
        <v>352</v>
      </c>
      <c r="B39" s="435">
        <v>1842</v>
      </c>
      <c r="C39" s="437">
        <f>SUM(C37:C38)</f>
        <v>2910</v>
      </c>
      <c r="D39" s="433">
        <f t="shared" ref="D39:O39" si="2">SUM(D37:D38)</f>
        <v>2303</v>
      </c>
      <c r="E39" s="431">
        <f t="shared" si="2"/>
        <v>2830</v>
      </c>
      <c r="F39" s="435">
        <f t="shared" si="2"/>
        <v>2683</v>
      </c>
      <c r="G39" s="437">
        <f t="shared" si="2"/>
        <v>3545</v>
      </c>
      <c r="H39" s="433">
        <f t="shared" si="2"/>
        <v>3759</v>
      </c>
      <c r="I39" s="431">
        <f t="shared" si="2"/>
        <v>3845</v>
      </c>
      <c r="J39" s="435">
        <f t="shared" si="2"/>
        <v>3930</v>
      </c>
      <c r="K39" s="437">
        <f t="shared" si="2"/>
        <v>3863</v>
      </c>
      <c r="L39" s="433">
        <f t="shared" si="2"/>
        <v>4042</v>
      </c>
      <c r="M39" s="431">
        <f t="shared" si="2"/>
        <v>4271</v>
      </c>
      <c r="N39" s="435">
        <f t="shared" si="2"/>
        <v>3308</v>
      </c>
      <c r="O39" s="437">
        <f t="shared" si="2"/>
        <v>3259</v>
      </c>
      <c r="P39" s="433">
        <v>3148</v>
      </c>
      <c r="Q39" s="431">
        <v>3292</v>
      </c>
      <c r="R39" s="435">
        <v>3988</v>
      </c>
      <c r="S39" s="437">
        <v>3170</v>
      </c>
      <c r="T39" s="433">
        <v>3954</v>
      </c>
      <c r="U39" s="431">
        <v>3267</v>
      </c>
    </row>
    <row r="40" spans="1:21" ht="4.5" customHeight="1" x14ac:dyDescent="0.35">
      <c r="A40" s="135"/>
      <c r="B40" s="434"/>
      <c r="C40" s="436"/>
      <c r="D40" s="432"/>
      <c r="E40" s="430"/>
      <c r="F40" s="434"/>
      <c r="G40" s="436"/>
      <c r="H40" s="432"/>
      <c r="I40" s="430"/>
      <c r="J40" s="434"/>
      <c r="K40" s="436"/>
      <c r="L40" s="432"/>
      <c r="M40" s="430"/>
      <c r="N40" s="434"/>
      <c r="O40" s="436"/>
      <c r="P40" s="432"/>
      <c r="Q40" s="430"/>
      <c r="R40" s="434"/>
      <c r="S40" s="436"/>
      <c r="T40" s="432"/>
      <c r="U40" s="430"/>
    </row>
    <row r="41" spans="1:21" ht="13.5" thickBot="1" x14ac:dyDescent="0.45">
      <c r="A41" s="369" t="s">
        <v>353</v>
      </c>
      <c r="B41" s="442">
        <f>B35-B39</f>
        <v>5769</v>
      </c>
      <c r="C41" s="443">
        <f t="shared" ref="C41:O41" si="3">C35-C39</f>
        <v>6681</v>
      </c>
      <c r="D41" s="444">
        <f t="shared" si="3"/>
        <v>7290</v>
      </c>
      <c r="E41" s="445">
        <f t="shared" si="3"/>
        <v>7742</v>
      </c>
      <c r="F41" s="442">
        <f t="shared" si="3"/>
        <v>7890</v>
      </c>
      <c r="G41" s="443">
        <f t="shared" si="3"/>
        <v>7615</v>
      </c>
      <c r="H41" s="444">
        <f t="shared" si="3"/>
        <v>7403</v>
      </c>
      <c r="I41" s="445">
        <f t="shared" si="3"/>
        <v>7320</v>
      </c>
      <c r="J41" s="442">
        <f t="shared" si="3"/>
        <v>7237</v>
      </c>
      <c r="K41" s="443">
        <f t="shared" si="3"/>
        <v>7307</v>
      </c>
      <c r="L41" s="444">
        <f t="shared" si="3"/>
        <v>7130</v>
      </c>
      <c r="M41" s="445">
        <f t="shared" si="3"/>
        <v>6904</v>
      </c>
      <c r="N41" s="442">
        <f t="shared" si="3"/>
        <v>6870</v>
      </c>
      <c r="O41" s="443">
        <f t="shared" si="3"/>
        <v>6921</v>
      </c>
      <c r="P41" s="444">
        <v>7034</v>
      </c>
      <c r="Q41" s="445">
        <v>7562</v>
      </c>
      <c r="R41" s="442">
        <f>R35-R39</f>
        <v>7737</v>
      </c>
      <c r="S41" s="443">
        <v>8308</v>
      </c>
      <c r="T41" s="444">
        <v>8281</v>
      </c>
      <c r="U41" s="445">
        <v>8955</v>
      </c>
    </row>
    <row r="42" spans="1:21" x14ac:dyDescent="0.35">
      <c r="B42" s="428"/>
      <c r="C42" s="428"/>
      <c r="D42" s="428"/>
      <c r="E42" s="428"/>
      <c r="F42" s="428"/>
      <c r="G42" s="428"/>
      <c r="H42" s="428"/>
      <c r="I42" s="428"/>
      <c r="J42" s="428"/>
      <c r="K42" s="428"/>
      <c r="L42" s="428"/>
      <c r="M42" s="428"/>
    </row>
  </sheetData>
  <mergeCells count="1">
    <mergeCell ref="A26:J26"/>
  </mergeCells>
  <pageMargins left="0.7" right="0.7" top="0.75" bottom="0.75" header="0.3" footer="0.3"/>
  <pageSetup orientation="portrait" verticalDpi="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798F291C733343982822E3648C9073" ma:contentTypeVersion="3" ma:contentTypeDescription="Create a new document." ma:contentTypeScope="" ma:versionID="377f9adf9619ef010a2e0915b88b3d3a">
  <xsd:schema xmlns:xsd="http://www.w3.org/2001/XMLSchema" xmlns:xs="http://www.w3.org/2001/XMLSchema" xmlns:p="http://schemas.microsoft.com/office/2006/metadata/properties" xmlns:ns2="fabf1489-3d4d-4e7a-ae84-8195f8aed06c" targetNamespace="http://schemas.microsoft.com/office/2006/metadata/properties" ma:root="true" ma:fieldsID="7f172eb3a6aab44d6499c858c4561311" ns2:_="">
    <xsd:import namespace="fabf1489-3d4d-4e7a-ae84-8195f8aed06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bf1489-3d4d-4e7a-ae84-8195f8aed0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245EE1-AF36-4960-9D17-1796746E7C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bf1489-3d4d-4e7a-ae84-8195f8aed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2A97DA-B642-4436-BFAE-D41A0B41B487}">
  <ds:schemaRefs>
    <ds:schemaRef ds:uri="http://purl.org/dc/terms/"/>
    <ds:schemaRef ds:uri="http://schemas.microsoft.com/office/2006/metadata/properties"/>
    <ds:schemaRef ds:uri="fabf1489-3d4d-4e7a-ae84-8195f8aed06c"/>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CC673F0-767D-4828-9DE6-8D5DE7FEA0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Introduction</vt:lpstr>
      <vt:lpstr>P&amp;L</vt:lpstr>
      <vt:lpstr>Balance Sheet</vt:lpstr>
      <vt:lpstr>Cash Flow</vt:lpstr>
      <vt:lpstr>Revenue</vt:lpstr>
      <vt:lpstr>Recon GAAP to non-GAAP</vt:lpstr>
      <vt:lpstr>Adj EBITDA Calculation</vt:lpstr>
      <vt:lpstr>Operating Metrics</vt:lpstr>
      <vt:lpstr>'Adj EBITDA Calculation'!Print_Area</vt:lpstr>
      <vt:lpstr>Introduction!Print_Area</vt:lpstr>
    </vt:vector>
  </TitlesOfParts>
  <Manager/>
  <Company>United States Senate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Larry James</dc:creator>
  <cp:keywords/>
  <dc:description/>
  <cp:lastModifiedBy>Jeff Palmer</cp:lastModifiedBy>
  <cp:revision/>
  <dcterms:created xsi:type="dcterms:W3CDTF">2010-10-18T10:27:02Z</dcterms:created>
  <dcterms:modified xsi:type="dcterms:W3CDTF">2026-02-25T02:58:20Z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0x01010007798F291C733343982822E3648C9073</vt:lpwstr>
  </property>
  <property fmtid="{D5CDD505-2E9C-101B-9397-08002B2CF9AE}" pid="5" name="CustomUiType">
    <vt:lpwstr>2</vt:lpwstr>
  </property>
</Properties>
</file>