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External_Publications\EPR\2023\EPR Q2 2023\"/>
    </mc:Choice>
  </mc:AlternateContent>
  <xr:revisionPtr revIDLastSave="0" documentId="13_ncr:1_{5E9D69D1-102D-481C-A506-573C6CA72841}" xr6:coauthVersionLast="47" xr6:coauthVersionMax="47" xr10:uidLastSave="{00000000-0000-0000-0000-000000000000}"/>
  <bookViews>
    <workbookView xWindow="-110" yWindow="-110" windowWidth="19420" windowHeight="10420" tabRatio="856"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Calculation'!$A$1:$AA$45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'P&amp;L'!$A$1:$Z$58</definedName>
    <definedName name="Z_8A3FF670_BD86_44B8_80D6_F16ECD9AAB7E_.wvu.PrintArea" localSheetId="0" hidden="1">Introduction!$B$1:$B$47</definedName>
    <definedName name="Z_8A3FF670_BD86_44B8_80D6_F16ECD9AAB7E_.wvu.PrintArea" localSheetId="1" hidden="1">'P&amp;L'!$A$1:$Z$58</definedName>
  </definedNames>
  <calcPr calcId="191029"/>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1" i="3" l="1"/>
  <c r="W38" i="10" l="1"/>
  <c r="V103" i="13" l="1"/>
  <c r="V102" i="13"/>
  <c r="V82" i="13"/>
  <c r="V95" i="13" s="1"/>
  <c r="AG95" i="13" s="1"/>
  <c r="AG70" i="13"/>
  <c r="M31" i="3"/>
  <c r="M27" i="3"/>
  <c r="L31" i="3"/>
  <c r="L27" i="3"/>
  <c r="K31" i="3"/>
  <c r="K27" i="3"/>
  <c r="J31" i="3"/>
  <c r="J27" i="3"/>
  <c r="I31" i="3"/>
  <c r="I27" i="3"/>
  <c r="H31" i="3"/>
  <c r="H27" i="3"/>
  <c r="G31" i="3"/>
  <c r="G27" i="3"/>
  <c r="F31" i="3"/>
  <c r="F27" i="3"/>
  <c r="E31" i="3"/>
  <c r="E27" i="3"/>
  <c r="D31" i="3"/>
  <c r="D27" i="3"/>
  <c r="C31" i="3"/>
  <c r="C27" i="3"/>
  <c r="B31" i="3"/>
  <c r="B27" i="3"/>
  <c r="N27" i="3"/>
  <c r="N31" i="3"/>
  <c r="O31" i="3"/>
  <c r="O27" i="3"/>
  <c r="P31" i="3"/>
  <c r="P27" i="3"/>
  <c r="Q31" i="3"/>
  <c r="Q27" i="3"/>
  <c r="R31" i="3"/>
  <c r="R27" i="3"/>
  <c r="S31" i="3"/>
  <c r="S27" i="3"/>
  <c r="T31" i="3"/>
  <c r="T27" i="3"/>
  <c r="U31" i="3"/>
  <c r="U27" i="3"/>
  <c r="AG40" i="10"/>
  <c r="AG38" i="10"/>
  <c r="AG36" i="10"/>
  <c r="AG29" i="10"/>
  <c r="AG28" i="10"/>
  <c r="AG25" i="10"/>
  <c r="AG26" i="10" s="1"/>
  <c r="AG23" i="10"/>
  <c r="AG22" i="10"/>
  <c r="AG21" i="10"/>
  <c r="AG20" i="10"/>
  <c r="AG19" i="10"/>
  <c r="AG18" i="10"/>
  <c r="AG17" i="10"/>
  <c r="AG15" i="10"/>
  <c r="AG13" i="10"/>
  <c r="AG12" i="10"/>
  <c r="AG11" i="10"/>
  <c r="AG10" i="10"/>
  <c r="AG7" i="10"/>
  <c r="AG6" i="10"/>
  <c r="AG5" i="10"/>
  <c r="AG96" i="13"/>
  <c r="AG94" i="13"/>
  <c r="AG93" i="13"/>
  <c r="AG92" i="13"/>
  <c r="AG91" i="13"/>
  <c r="AG90" i="13"/>
  <c r="AG89" i="13"/>
  <c r="AG87" i="13"/>
  <c r="AG86" i="13"/>
  <c r="AG85" i="13"/>
  <c r="AG83" i="13"/>
  <c r="AG82" i="13"/>
  <c r="AG81" i="13"/>
  <c r="AG80" i="13"/>
  <c r="AG79" i="13"/>
  <c r="AG78" i="13"/>
  <c r="AG77" i="13"/>
  <c r="AG76" i="13"/>
  <c r="AG74" i="13"/>
  <c r="AG73" i="13"/>
  <c r="AG72" i="13"/>
  <c r="AG69" i="13"/>
  <c r="AG68" i="13"/>
  <c r="AG66" i="13"/>
  <c r="AG65" i="13"/>
  <c r="AG64" i="13"/>
  <c r="AG63" i="13"/>
  <c r="AG62" i="13"/>
  <c r="AG61" i="13"/>
  <c r="AG60" i="13"/>
  <c r="AG59" i="13"/>
  <c r="AG53" i="13"/>
  <c r="AG52" i="13"/>
  <c r="AG51" i="13"/>
  <c r="AG50" i="13"/>
  <c r="AG49" i="13"/>
  <c r="AG48" i="13"/>
  <c r="AG47" i="13"/>
  <c r="AG46" i="13"/>
  <c r="AG44" i="13"/>
  <c r="AG43" i="13"/>
  <c r="AG42" i="13"/>
  <c r="AG41" i="13"/>
  <c r="AG40" i="13"/>
  <c r="AG39" i="13"/>
  <c r="AG37" i="13"/>
  <c r="AG36" i="13"/>
  <c r="AG35" i="13"/>
  <c r="AG33" i="13"/>
  <c r="AG32" i="13"/>
  <c r="AG31" i="13"/>
  <c r="AG30" i="13"/>
  <c r="AG29" i="13"/>
  <c r="AG28" i="13"/>
  <c r="AG27" i="13"/>
  <c r="AG25" i="13"/>
  <c r="AG24" i="13"/>
  <c r="AG23" i="13"/>
  <c r="AG22" i="13"/>
  <c r="AG21" i="13"/>
  <c r="AG20" i="13"/>
  <c r="AG14" i="13"/>
  <c r="AG13" i="13"/>
  <c r="AG12" i="13"/>
  <c r="AG11" i="13"/>
  <c r="AG10" i="13"/>
  <c r="AG9" i="13"/>
  <c r="AG8" i="13"/>
  <c r="AG7" i="13"/>
  <c r="AG5" i="13"/>
  <c r="Y57" i="13"/>
  <c r="X57" i="13"/>
  <c r="W57" i="13"/>
  <c r="V57" i="13"/>
  <c r="Y55" i="13"/>
  <c r="X55" i="13"/>
  <c r="W55" i="13"/>
  <c r="V55" i="13"/>
  <c r="Y18" i="13"/>
  <c r="X18" i="13"/>
  <c r="W18" i="13"/>
  <c r="V18" i="13"/>
  <c r="Y16" i="13"/>
  <c r="X16" i="13"/>
  <c r="W16" i="13"/>
  <c r="V16" i="13"/>
  <c r="AF29" i="5"/>
  <c r="AF28" i="5"/>
  <c r="AF27" i="5"/>
  <c r="AF26" i="5"/>
  <c r="AF25" i="5"/>
  <c r="AF20" i="5"/>
  <c r="AF19" i="5"/>
  <c r="AF18" i="5"/>
  <c r="AF17" i="5"/>
  <c r="AF11" i="5"/>
  <c r="AF8" i="5"/>
  <c r="AF7" i="5"/>
  <c r="AF6" i="5"/>
  <c r="AF5" i="5"/>
  <c r="AF24" i="4"/>
  <c r="AF23" i="4"/>
  <c r="AF22" i="4"/>
  <c r="AF21" i="4"/>
  <c r="AF18" i="4"/>
  <c r="AF17" i="4"/>
  <c r="AF16" i="4"/>
  <c r="AF15" i="4"/>
  <c r="AF14" i="4"/>
  <c r="AF13" i="4"/>
  <c r="AF12" i="4"/>
  <c r="AF11" i="4"/>
  <c r="AF10" i="4"/>
  <c r="AF91" i="4"/>
  <c r="AF90" i="4"/>
  <c r="AF88" i="4"/>
  <c r="AF87" i="4"/>
  <c r="AF79" i="4"/>
  <c r="AF77" i="4"/>
  <c r="AF75" i="4"/>
  <c r="AF74" i="4"/>
  <c r="AF73" i="4"/>
  <c r="AF72" i="4"/>
  <c r="AF71" i="4"/>
  <c r="AF70" i="4"/>
  <c r="AF69" i="4"/>
  <c r="AF67" i="4"/>
  <c r="AF66" i="4"/>
  <c r="AF65" i="4"/>
  <c r="AF64" i="4"/>
  <c r="AF63" i="4"/>
  <c r="AF62" i="4"/>
  <c r="AF61" i="4"/>
  <c r="AF60" i="4"/>
  <c r="AF59" i="4"/>
  <c r="AF58" i="4"/>
  <c r="AF57" i="4"/>
  <c r="AF56" i="4"/>
  <c r="AF55" i="4"/>
  <c r="AF54" i="4"/>
  <c r="AF53" i="4"/>
  <c r="AF52" i="4"/>
  <c r="AF51" i="4"/>
  <c r="AF50" i="4"/>
  <c r="AF49" i="4"/>
  <c r="AF48" i="4"/>
  <c r="AF47" i="4"/>
  <c r="AF46" i="4"/>
  <c r="AF43" i="4"/>
  <c r="AF42" i="4"/>
  <c r="AF41" i="4"/>
  <c r="AF40" i="4"/>
  <c r="AF39" i="4"/>
  <c r="AF38" i="4"/>
  <c r="AF37" i="4"/>
  <c r="AF36" i="4"/>
  <c r="AF35" i="4"/>
  <c r="AF34" i="4"/>
  <c r="AF33" i="4"/>
  <c r="AF32" i="4"/>
  <c r="AF31" i="4"/>
  <c r="AF28" i="4"/>
  <c r="AF27" i="4"/>
  <c r="AF26" i="4"/>
  <c r="AF6" i="4"/>
  <c r="AF8" i="4"/>
  <c r="AF54" i="2"/>
  <c r="AF33" i="2"/>
  <c r="AF37" i="2"/>
  <c r="AF35" i="2"/>
  <c r="AF31" i="2"/>
  <c r="AF29" i="2"/>
  <c r="AF27" i="2"/>
  <c r="AF26" i="2"/>
  <c r="AF24" i="2"/>
  <c r="AF22" i="2"/>
  <c r="AF21" i="2"/>
  <c r="AF20" i="2"/>
  <c r="AF17" i="2"/>
  <c r="AF15" i="2"/>
  <c r="AF13" i="2"/>
  <c r="AF12" i="2"/>
  <c r="AF11" i="2"/>
  <c r="AF10" i="2"/>
  <c r="AF8" i="2"/>
  <c r="AF6" i="2"/>
  <c r="AF5" i="2"/>
  <c r="AD29" i="5"/>
  <c r="AD28" i="5"/>
  <c r="AD27" i="5"/>
  <c r="AD26" i="5"/>
  <c r="AD25" i="5"/>
  <c r="AE27" i="5"/>
  <c r="U29" i="5"/>
  <c r="AG57" i="13" l="1"/>
  <c r="AG16" i="13"/>
  <c r="AG18" i="13"/>
  <c r="AG55" i="13"/>
  <c r="U57" i="13"/>
  <c r="U55" i="13"/>
  <c r="U18" i="13"/>
  <c r="U16" i="13"/>
  <c r="AE28" i="5"/>
  <c r="AE26" i="5"/>
  <c r="AE25" i="5"/>
  <c r="AE19" i="5"/>
  <c r="AE18" i="5"/>
  <c r="AE17" i="5"/>
  <c r="T29" i="5"/>
  <c r="T20" i="5"/>
  <c r="T16" i="5"/>
  <c r="T24" i="5" s="1"/>
  <c r="AE18" i="4"/>
  <c r="AE24" i="4"/>
  <c r="T57" i="13" l="1"/>
  <c r="T55" i="13"/>
  <c r="T18" i="13"/>
  <c r="T16" i="13"/>
  <c r="T46" i="2" l="1"/>
  <c r="T42" i="2"/>
  <c r="I8" i="15" l="1"/>
  <c r="H8" i="15"/>
  <c r="G8" i="15"/>
  <c r="S29" i="5"/>
  <c r="S20" i="5"/>
  <c r="S57" i="13" l="1"/>
  <c r="S55" i="13"/>
  <c r="S18" i="13"/>
  <c r="S16" i="13"/>
  <c r="R29" i="5" l="1"/>
  <c r="AE29" i="5" s="1"/>
  <c r="R20" i="5"/>
  <c r="AE20" i="5" s="1"/>
  <c r="F8" i="15"/>
  <c r="R57" i="13" l="1"/>
  <c r="R55" i="13"/>
  <c r="R18" i="13"/>
  <c r="R16" i="13"/>
  <c r="AF40" i="10" l="1"/>
  <c r="AF38" i="10"/>
  <c r="AF36" i="10"/>
  <c r="AF25" i="10"/>
  <c r="AF26" i="10" s="1"/>
  <c r="AF29" i="10"/>
  <c r="AF28" i="10"/>
  <c r="AF23" i="10"/>
  <c r="AF22" i="10"/>
  <c r="AF21" i="10"/>
  <c r="AF20" i="10"/>
  <c r="AF19" i="10"/>
  <c r="AF18" i="10"/>
  <c r="AF17" i="10"/>
  <c r="AF15" i="10"/>
  <c r="AF13" i="10"/>
  <c r="AF12" i="10"/>
  <c r="AF11" i="10"/>
  <c r="AF10" i="10"/>
  <c r="AF7" i="10"/>
  <c r="AF6" i="10"/>
  <c r="AF5" i="10"/>
  <c r="U43" i="10"/>
  <c r="T43" i="10"/>
  <c r="S43" i="10"/>
  <c r="R43" i="10"/>
  <c r="AF66" i="13"/>
  <c r="AF65" i="13"/>
  <c r="AF64" i="13"/>
  <c r="AF63" i="13"/>
  <c r="AF62" i="13"/>
  <c r="AF61" i="13"/>
  <c r="AF60" i="13"/>
  <c r="AF59" i="13"/>
  <c r="AF53" i="13"/>
  <c r="AF52" i="13"/>
  <c r="AF51" i="13"/>
  <c r="AF50" i="13"/>
  <c r="AF49" i="13"/>
  <c r="AF48" i="13"/>
  <c r="AF47" i="13"/>
  <c r="AF46" i="13"/>
  <c r="AF44" i="13"/>
  <c r="AF43" i="13"/>
  <c r="AF42" i="13"/>
  <c r="AF41" i="13"/>
  <c r="AF40" i="13"/>
  <c r="AF39" i="13"/>
  <c r="AF37" i="13"/>
  <c r="AF36" i="13"/>
  <c r="AF35" i="13"/>
  <c r="AF33" i="13"/>
  <c r="AF32" i="13"/>
  <c r="AF31" i="13"/>
  <c r="AF30" i="13"/>
  <c r="AF29" i="13"/>
  <c r="AF28" i="13"/>
  <c r="AF27" i="13"/>
  <c r="AF25" i="13"/>
  <c r="AF24" i="13"/>
  <c r="AF23" i="13"/>
  <c r="AF22" i="13"/>
  <c r="AF21" i="13"/>
  <c r="AF20" i="13"/>
  <c r="AF14" i="13"/>
  <c r="AF13" i="13"/>
  <c r="AF12" i="13"/>
  <c r="AF11" i="13"/>
  <c r="AF10" i="13"/>
  <c r="AF9" i="13"/>
  <c r="AF8" i="13"/>
  <c r="AF7" i="13"/>
  <c r="AF5" i="13"/>
  <c r="AE8" i="5"/>
  <c r="AE7" i="5"/>
  <c r="AE6" i="5"/>
  <c r="AE5" i="5"/>
  <c r="U11" i="5"/>
  <c r="T11" i="5"/>
  <c r="S11" i="5"/>
  <c r="R11" i="5"/>
  <c r="AE79" i="4"/>
  <c r="AE77" i="4"/>
  <c r="AE75" i="4"/>
  <c r="AE74" i="4"/>
  <c r="AE73" i="4"/>
  <c r="AE72" i="4"/>
  <c r="AE71" i="4"/>
  <c r="AE70" i="4"/>
  <c r="AE69" i="4"/>
  <c r="AE67" i="4"/>
  <c r="AE66" i="4"/>
  <c r="AE65" i="4"/>
  <c r="AE64" i="4"/>
  <c r="AE63" i="4"/>
  <c r="AE62" i="4"/>
  <c r="AE61" i="4"/>
  <c r="AE60" i="4"/>
  <c r="AE59" i="4"/>
  <c r="AE58" i="4"/>
  <c r="AE57" i="4"/>
  <c r="AE56" i="4"/>
  <c r="AE55" i="4"/>
  <c r="AE54" i="4"/>
  <c r="AE53" i="4"/>
  <c r="AE52" i="4"/>
  <c r="AE51" i="4"/>
  <c r="AE50" i="4"/>
  <c r="AE49" i="4"/>
  <c r="AE48" i="4"/>
  <c r="AE47" i="4"/>
  <c r="AE46" i="4"/>
  <c r="AE43" i="4"/>
  <c r="AE42" i="4"/>
  <c r="AE41" i="4"/>
  <c r="AE40" i="4"/>
  <c r="AE39" i="4"/>
  <c r="AE38" i="4"/>
  <c r="AE37" i="4"/>
  <c r="AE36" i="4"/>
  <c r="AE35" i="4"/>
  <c r="AE34" i="4"/>
  <c r="AE33" i="4"/>
  <c r="AE32" i="4"/>
  <c r="AE31" i="4"/>
  <c r="AE28" i="4"/>
  <c r="AE27" i="4"/>
  <c r="AE26" i="4"/>
  <c r="AE23" i="4"/>
  <c r="AE22" i="4"/>
  <c r="AE21" i="4"/>
  <c r="AE17" i="4"/>
  <c r="AE16" i="4"/>
  <c r="AE15" i="4"/>
  <c r="AE14" i="4"/>
  <c r="AE13" i="4"/>
  <c r="AE12" i="4"/>
  <c r="AE11" i="4"/>
  <c r="AE10" i="4"/>
  <c r="AE8" i="4"/>
  <c r="AE6" i="4"/>
  <c r="AE82" i="4"/>
  <c r="AE54" i="2"/>
  <c r="AE37" i="2"/>
  <c r="AE35" i="2"/>
  <c r="AE33" i="2"/>
  <c r="AE31" i="2"/>
  <c r="AE29" i="2"/>
  <c r="AE27" i="2"/>
  <c r="AE26" i="2"/>
  <c r="AE24" i="2"/>
  <c r="AE22" i="2"/>
  <c r="AE21" i="2"/>
  <c r="AE20" i="2"/>
  <c r="AE17" i="2"/>
  <c r="AE15" i="2"/>
  <c r="AE13" i="2"/>
  <c r="AE12" i="2"/>
  <c r="AE11" i="2"/>
  <c r="AE10" i="2"/>
  <c r="AE8" i="2"/>
  <c r="AE6" i="2"/>
  <c r="AE5" i="2"/>
  <c r="F43" i="10"/>
  <c r="J43" i="10"/>
  <c r="N43" i="10"/>
  <c r="I43" i="10"/>
  <c r="M43" i="10"/>
  <c r="H43" i="10"/>
  <c r="G43" i="10"/>
  <c r="L43" i="10"/>
  <c r="K43" i="10"/>
  <c r="O43" i="10"/>
  <c r="P43" i="10"/>
  <c r="Q43" i="10"/>
  <c r="AE11" i="5" l="1"/>
  <c r="AF18" i="13"/>
  <c r="AF57" i="13"/>
  <c r="AF16" i="13"/>
  <c r="AF55" i="13"/>
  <c r="AD34" i="4" l="1"/>
  <c r="AD33" i="4"/>
  <c r="AD37" i="2" l="1"/>
  <c r="AD35" i="2"/>
  <c r="AD33" i="2"/>
  <c r="AD31" i="2"/>
  <c r="AD29" i="2"/>
  <c r="AD27" i="2"/>
  <c r="AD26" i="2"/>
  <c r="AD24" i="2"/>
  <c r="AD22" i="2"/>
  <c r="AD21" i="2"/>
  <c r="AD20" i="2"/>
  <c r="AD17" i="2"/>
  <c r="AD15" i="2"/>
  <c r="AD13" i="2"/>
  <c r="AD12" i="2"/>
  <c r="AD11" i="2"/>
  <c r="AD10" i="2"/>
  <c r="AD8" i="2"/>
  <c r="AD6" i="2"/>
  <c r="AD5" i="2"/>
  <c r="AD82" i="4"/>
  <c r="AD79" i="4"/>
  <c r="AD77" i="4"/>
  <c r="AD75" i="4"/>
  <c r="AD74" i="4"/>
  <c r="AD73" i="4"/>
  <c r="AD72" i="4"/>
  <c r="AD71" i="4"/>
  <c r="AD69" i="4"/>
  <c r="AD67" i="4"/>
  <c r="AD66" i="4"/>
  <c r="AD65" i="4"/>
  <c r="AD64" i="4"/>
  <c r="AD63" i="4"/>
  <c r="AD62" i="4"/>
  <c r="AD61" i="4"/>
  <c r="AD60" i="4"/>
  <c r="AD59" i="4"/>
  <c r="AD58" i="4"/>
  <c r="AD57" i="4"/>
  <c r="AD56" i="4"/>
  <c r="AD55" i="4"/>
  <c r="AD54" i="4"/>
  <c r="AD53" i="4"/>
  <c r="AD52" i="4"/>
  <c r="AD51" i="4"/>
  <c r="AD50" i="4"/>
  <c r="AD49" i="4"/>
  <c r="AD48" i="4"/>
  <c r="AD47" i="4"/>
  <c r="AD46" i="4"/>
  <c r="AD43" i="4"/>
  <c r="AD42" i="4"/>
  <c r="AD41" i="4"/>
  <c r="AD40" i="4"/>
  <c r="AD39" i="4"/>
  <c r="AD38" i="4"/>
  <c r="AD37" i="4"/>
  <c r="AD36" i="4"/>
  <c r="AD35" i="4"/>
  <c r="AD32" i="4"/>
  <c r="AD31" i="4"/>
  <c r="AD28" i="4"/>
  <c r="AD27" i="4"/>
  <c r="AD26" i="4"/>
  <c r="AD24" i="4"/>
  <c r="AD23" i="4"/>
  <c r="AD22" i="4"/>
  <c r="AD21" i="4"/>
  <c r="AD18" i="4"/>
  <c r="AD17" i="4"/>
  <c r="AD16" i="4"/>
  <c r="AD15" i="4"/>
  <c r="AD14" i="4"/>
  <c r="AD13" i="4"/>
  <c r="AD12" i="4"/>
  <c r="AD11" i="4"/>
  <c r="AD10" i="4"/>
  <c r="AD8" i="4"/>
  <c r="AD6" i="4"/>
  <c r="AD8" i="5"/>
  <c r="AD7" i="5"/>
  <c r="AD6" i="5"/>
  <c r="AD5" i="5"/>
  <c r="AE23" i="10"/>
  <c r="AE22" i="10"/>
  <c r="AE21" i="10"/>
  <c r="AE20" i="10"/>
  <c r="AE19" i="10"/>
  <c r="AE18" i="10"/>
  <c r="AE17" i="10"/>
  <c r="AE15" i="10"/>
  <c r="AE13" i="10"/>
  <c r="AE12" i="10"/>
  <c r="AE11" i="10"/>
  <c r="AE10" i="10"/>
  <c r="AE6" i="10"/>
  <c r="AE7" i="10"/>
  <c r="AE5" i="10"/>
  <c r="AE40" i="10" l="1"/>
  <c r="AE38" i="10"/>
  <c r="AE36" i="10"/>
  <c r="AE29" i="10"/>
  <c r="AE28" i="10"/>
  <c r="AE25" i="10"/>
  <c r="AE26" i="10" s="1"/>
  <c r="AE66" i="13" l="1"/>
  <c r="AE65" i="13"/>
  <c r="AE64" i="13"/>
  <c r="AE63" i="13"/>
  <c r="AE62" i="13"/>
  <c r="AE61" i="13"/>
  <c r="AE60" i="13"/>
  <c r="AE59" i="13"/>
  <c r="AE53" i="13"/>
  <c r="AE52" i="13"/>
  <c r="AE51" i="13"/>
  <c r="AE50" i="13"/>
  <c r="AE49" i="13"/>
  <c r="AE48" i="13"/>
  <c r="AE47" i="13"/>
  <c r="AE46" i="13"/>
  <c r="AE44" i="13"/>
  <c r="AE43" i="13"/>
  <c r="AE42" i="13"/>
  <c r="AE41" i="13"/>
  <c r="AE40" i="13"/>
  <c r="AE39" i="13"/>
  <c r="AE37" i="13"/>
  <c r="AE36" i="13"/>
  <c r="AE35" i="13"/>
  <c r="AE33" i="13"/>
  <c r="AE32" i="13"/>
  <c r="AE31" i="13"/>
  <c r="AE30" i="13"/>
  <c r="AE29" i="13"/>
  <c r="AE28" i="13"/>
  <c r="AE27" i="13"/>
  <c r="AE25" i="13"/>
  <c r="AE24" i="13"/>
  <c r="AE23" i="13"/>
  <c r="AE22" i="13"/>
  <c r="AE21" i="13"/>
  <c r="AE20" i="13"/>
  <c r="AE14" i="13"/>
  <c r="AE13" i="13"/>
  <c r="AE12" i="13"/>
  <c r="AE11" i="13"/>
  <c r="AE10" i="13"/>
  <c r="AE9" i="13"/>
  <c r="AE8" i="13"/>
  <c r="AE7" i="13"/>
  <c r="AE5" i="13"/>
  <c r="Q57" i="13"/>
  <c r="P57" i="13"/>
  <c r="O57" i="13"/>
  <c r="N57" i="13"/>
  <c r="Q55" i="13"/>
  <c r="P55" i="13"/>
  <c r="O55" i="13"/>
  <c r="N55" i="13"/>
  <c r="Q18" i="13"/>
  <c r="P18" i="13"/>
  <c r="O18" i="13"/>
  <c r="N18" i="13"/>
  <c r="Q16" i="13"/>
  <c r="P16" i="13"/>
  <c r="O16" i="13"/>
  <c r="N16" i="13"/>
  <c r="Q11" i="5"/>
  <c r="P11" i="5"/>
  <c r="O11" i="5"/>
  <c r="N11" i="5"/>
  <c r="AD11" i="5" l="1"/>
  <c r="AE57" i="13"/>
  <c r="AE55" i="13"/>
  <c r="AE18" i="13"/>
  <c r="AE16" i="13"/>
  <c r="AC91" i="4"/>
  <c r="AC90" i="4"/>
  <c r="AC66" i="4" l="1"/>
  <c r="AC17" i="4"/>
  <c r="M11" i="5" l="1"/>
  <c r="L11" i="5"/>
  <c r="K11" i="5"/>
  <c r="M26" i="10"/>
  <c r="AC20" i="2" l="1"/>
  <c r="J51" i="13" l="1"/>
  <c r="J47" i="13"/>
  <c r="J43" i="13"/>
  <c r="J40" i="13"/>
  <c r="AC88" i="4" l="1"/>
  <c r="AC87" i="4"/>
  <c r="AC79" i="4"/>
  <c r="AC77" i="4"/>
  <c r="AC75" i="4"/>
  <c r="AC74" i="4"/>
  <c r="AC73" i="4"/>
  <c r="AC72" i="4"/>
  <c r="AC71" i="4"/>
  <c r="AC69" i="4"/>
  <c r="AC67" i="4"/>
  <c r="AC65" i="4"/>
  <c r="AC64" i="4"/>
  <c r="AC63" i="4"/>
  <c r="AC62" i="4"/>
  <c r="AC61" i="4"/>
  <c r="AC60" i="4"/>
  <c r="AC59" i="4"/>
  <c r="AC58" i="4"/>
  <c r="AC57" i="4"/>
  <c r="AC56" i="4"/>
  <c r="AC55" i="4"/>
  <c r="AC54" i="4"/>
  <c r="AC53" i="4"/>
  <c r="AC52" i="4"/>
  <c r="AC51" i="4"/>
  <c r="AC50" i="4"/>
  <c r="AC49" i="4"/>
  <c r="AC48" i="4"/>
  <c r="AC47" i="4"/>
  <c r="AC46" i="4"/>
  <c r="AC43" i="4"/>
  <c r="AC42" i="4"/>
  <c r="AC41" i="4"/>
  <c r="AC40" i="4"/>
  <c r="AC39" i="4"/>
  <c r="AC38" i="4"/>
  <c r="AC37" i="4"/>
  <c r="AC36" i="4"/>
  <c r="AC35" i="4"/>
  <c r="AC32" i="4"/>
  <c r="AC31" i="4"/>
  <c r="AC28" i="4"/>
  <c r="AC27" i="4"/>
  <c r="AC26" i="4"/>
  <c r="AC24" i="4"/>
  <c r="AC23" i="4"/>
  <c r="AC22" i="4"/>
  <c r="AC21" i="4"/>
  <c r="AC18" i="4"/>
  <c r="AC16" i="4"/>
  <c r="AC15" i="4"/>
  <c r="AC14" i="4"/>
  <c r="AC13" i="4"/>
  <c r="AC12" i="4"/>
  <c r="AC11" i="4"/>
  <c r="AC10" i="4"/>
  <c r="AC8" i="4"/>
  <c r="AC6" i="4"/>
  <c r="AB5" i="2"/>
  <c r="AB6" i="2"/>
  <c r="AB8" i="2"/>
  <c r="AB10" i="2"/>
  <c r="AB11" i="2"/>
  <c r="AB12" i="2"/>
  <c r="AB13" i="2"/>
  <c r="AB15" i="2"/>
  <c r="AB17" i="2"/>
  <c r="AB21" i="2"/>
  <c r="AB22" i="2"/>
  <c r="AB24" i="2"/>
  <c r="AB26" i="2"/>
  <c r="AB27" i="2"/>
  <c r="AB29" i="2"/>
  <c r="AB33" i="2"/>
  <c r="AB35" i="2"/>
  <c r="AB37" i="2"/>
  <c r="AB54" i="2"/>
  <c r="J26" i="10"/>
  <c r="AD40" i="10" l="1"/>
  <c r="AD38" i="10"/>
  <c r="AD36" i="10"/>
  <c r="AD29" i="10"/>
  <c r="AD28" i="10"/>
  <c r="AD25" i="10"/>
  <c r="AD26" i="10" s="1"/>
  <c r="AD23" i="10"/>
  <c r="AD22" i="10"/>
  <c r="AD21" i="10"/>
  <c r="AD20" i="10"/>
  <c r="AD19" i="10"/>
  <c r="AD18" i="10"/>
  <c r="AD17" i="10"/>
  <c r="AD15" i="10"/>
  <c r="AD13" i="10"/>
  <c r="AD12" i="10"/>
  <c r="AD11" i="10"/>
  <c r="AD10" i="10"/>
  <c r="AD7" i="10"/>
  <c r="AD6" i="10"/>
  <c r="AD5" i="10"/>
  <c r="J57" i="13"/>
  <c r="J55" i="13"/>
  <c r="J18" i="13"/>
  <c r="J16" i="13"/>
  <c r="L57" i="13"/>
  <c r="L55" i="13"/>
  <c r="M57" i="13"/>
  <c r="K57" i="13"/>
  <c r="M55" i="13"/>
  <c r="K55" i="13"/>
  <c r="M18" i="13"/>
  <c r="L18" i="13"/>
  <c r="K18" i="13"/>
  <c r="M16" i="13"/>
  <c r="L16" i="13"/>
  <c r="K16" i="13"/>
  <c r="J11" i="5"/>
  <c r="AC11" i="5" s="1"/>
  <c r="AC8" i="5"/>
  <c r="AC7" i="5"/>
  <c r="AC5" i="5"/>
  <c r="AC6" i="5"/>
  <c r="AC37" i="2"/>
  <c r="AC35" i="2"/>
  <c r="AC33" i="2"/>
  <c r="AC31" i="2"/>
  <c r="AC29" i="2"/>
  <c r="AC27" i="2"/>
  <c r="AC26" i="2"/>
  <c r="AC24" i="2"/>
  <c r="AC22" i="2"/>
  <c r="AC21" i="2"/>
  <c r="AC17" i="2"/>
  <c r="AC15" i="2"/>
  <c r="AC13" i="2"/>
  <c r="AC12" i="2"/>
  <c r="AC11" i="2"/>
  <c r="AC10" i="2"/>
  <c r="AC8" i="2"/>
  <c r="AC6" i="2"/>
  <c r="AC5" i="2"/>
  <c r="AD57" i="13" l="1"/>
  <c r="AD55" i="13"/>
  <c r="AD18" i="13"/>
  <c r="AD16" i="13"/>
  <c r="AC40" i="10" l="1"/>
  <c r="AC38" i="10"/>
  <c r="AC36" i="10"/>
  <c r="AB49" i="4"/>
  <c r="AB48" i="4"/>
  <c r="AB47" i="4"/>
  <c r="AB79" i="4"/>
  <c r="AB77" i="4"/>
  <c r="AB75" i="4"/>
  <c r="AB74" i="4"/>
  <c r="AB73" i="4"/>
  <c r="AB72" i="4"/>
  <c r="AB71" i="4"/>
  <c r="AB69" i="4"/>
  <c r="AB67" i="4"/>
  <c r="AB65" i="4"/>
  <c r="AB64" i="4"/>
  <c r="AB63" i="4"/>
  <c r="AB62" i="4"/>
  <c r="AB61" i="4"/>
  <c r="AB60" i="4"/>
  <c r="AB59" i="4"/>
  <c r="AB58" i="4"/>
  <c r="AB57" i="4"/>
  <c r="AB56" i="4"/>
  <c r="AB55" i="4"/>
  <c r="AB54" i="4"/>
  <c r="AB53" i="4"/>
  <c r="AB52" i="4"/>
  <c r="AB51" i="4"/>
  <c r="AB50" i="4"/>
  <c r="AB46" i="4"/>
  <c r="AB43" i="4"/>
  <c r="AB42" i="4"/>
  <c r="AB41" i="4"/>
  <c r="AB40" i="4"/>
  <c r="AB39" i="4"/>
  <c r="AB38" i="4"/>
  <c r="AB37" i="4"/>
  <c r="AB36" i="4"/>
  <c r="AB35" i="4"/>
  <c r="AB32" i="4"/>
  <c r="AB31" i="4"/>
  <c r="AB28" i="4"/>
  <c r="AB27" i="4"/>
  <c r="AB26" i="4"/>
  <c r="AB24" i="4"/>
  <c r="AB23" i="4"/>
  <c r="AB22" i="4"/>
  <c r="AB21" i="4"/>
  <c r="AB18" i="4"/>
  <c r="AB16" i="4"/>
  <c r="AB15" i="4"/>
  <c r="AB14" i="4"/>
  <c r="AB13" i="4"/>
  <c r="AB12" i="4"/>
  <c r="AB11" i="4"/>
  <c r="AB10" i="4"/>
  <c r="AB8" i="4"/>
  <c r="AB6" i="4"/>
  <c r="AC29" i="10" l="1"/>
  <c r="AC28" i="10"/>
  <c r="AC25" i="10"/>
  <c r="AC26" i="10" s="1"/>
  <c r="AC23" i="10"/>
  <c r="AC22" i="10"/>
  <c r="AC21" i="10"/>
  <c r="AC20" i="10"/>
  <c r="AC19" i="10"/>
  <c r="AC18" i="10"/>
  <c r="AC17" i="10"/>
  <c r="AC15" i="10"/>
  <c r="AC13" i="10"/>
  <c r="AC12" i="10"/>
  <c r="AC11" i="10"/>
  <c r="AC10" i="10"/>
  <c r="AC7" i="10"/>
  <c r="AC6" i="10"/>
  <c r="AC5" i="10"/>
  <c r="AC66" i="13" l="1"/>
  <c r="I53" i="13" l="1"/>
  <c r="I57" i="13" s="1"/>
  <c r="I52" i="13"/>
  <c r="I51" i="13"/>
  <c r="I50" i="13"/>
  <c r="I49" i="13"/>
  <c r="I48" i="13"/>
  <c r="I47" i="13"/>
  <c r="I46" i="13"/>
  <c r="I55" i="13" s="1"/>
  <c r="H55" i="13"/>
  <c r="H57" i="13"/>
  <c r="I18" i="13"/>
  <c r="I16" i="13"/>
  <c r="AC65" i="13"/>
  <c r="AC64" i="13"/>
  <c r="AC63" i="13"/>
  <c r="AC62" i="13"/>
  <c r="AC61" i="13"/>
  <c r="AC60" i="13"/>
  <c r="AC59" i="13"/>
  <c r="AC44" i="13"/>
  <c r="AC43" i="13"/>
  <c r="AC42" i="13"/>
  <c r="AC41" i="13"/>
  <c r="AC40" i="13"/>
  <c r="AC39" i="13"/>
  <c r="AC37" i="13"/>
  <c r="AC36" i="13"/>
  <c r="AC35" i="13"/>
  <c r="AC33" i="13"/>
  <c r="AC32" i="13"/>
  <c r="AC31" i="13"/>
  <c r="AC30" i="13"/>
  <c r="AC29" i="13"/>
  <c r="AC28" i="13"/>
  <c r="AC27" i="13"/>
  <c r="AC25" i="13"/>
  <c r="AC24" i="13"/>
  <c r="AC23" i="13"/>
  <c r="AC22" i="13"/>
  <c r="AC21" i="13"/>
  <c r="AC20" i="13"/>
  <c r="AC14" i="13"/>
  <c r="AC13" i="13"/>
  <c r="AC12" i="13"/>
  <c r="AC11" i="13"/>
  <c r="AC10" i="13"/>
  <c r="AC9" i="13"/>
  <c r="AC8" i="13"/>
  <c r="AC7" i="13"/>
  <c r="AC5" i="13"/>
  <c r="AC18" i="13" l="1"/>
  <c r="AC16" i="13"/>
  <c r="I84" i="4"/>
  <c r="H18" i="13" l="1"/>
  <c r="H16" i="13"/>
  <c r="G53" i="13" l="1"/>
  <c r="AC53" i="13" s="1"/>
  <c r="AC57" i="13" s="1"/>
  <c r="G52" i="13"/>
  <c r="AC52" i="13" s="1"/>
  <c r="G51" i="13"/>
  <c r="AC51" i="13" s="1"/>
  <c r="G50" i="13"/>
  <c r="AC50" i="13" s="1"/>
  <c r="G49" i="13"/>
  <c r="AC49" i="13" s="1"/>
  <c r="G48" i="13"/>
  <c r="AC48" i="13" s="1"/>
  <c r="G47" i="13"/>
  <c r="AC47" i="13" s="1"/>
  <c r="G57" i="13" l="1"/>
  <c r="G46" i="13"/>
  <c r="G18" i="13"/>
  <c r="G16" i="13"/>
  <c r="G55" i="13" l="1"/>
  <c r="AC46" i="13"/>
  <c r="AC55" i="13" s="1"/>
  <c r="B11" i="5" l="1"/>
  <c r="C11" i="5"/>
  <c r="D11" i="5"/>
</calcChain>
</file>

<file path=xl/sharedStrings.xml><?xml version="1.0" encoding="utf-8"?>
<sst xmlns="http://schemas.openxmlformats.org/spreadsheetml/2006/main" count="738" uniqueCount="334">
  <si>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</si>
  <si>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</si>
  <si>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</si>
  <si>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</si>
  <si>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</si>
  <si>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</si>
  <si>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</si>
  <si>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</si>
  <si>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</si>
  <si>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</si>
  <si>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</si>
  <si>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</si>
  <si>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</si>
  <si>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</si>
  <si>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</si>
  <si>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</si>
  <si>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</si>
  <si>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</si>
  <si>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</si>
  <si>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</si>
  <si>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</si>
  <si>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</si>
  <si>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</si>
  <si>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</si>
  <si>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</si>
  <si>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</si>
  <si>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</si>
  <si>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</si>
  <si>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</si>
  <si>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</si>
  <si>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</si>
  <si>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</si>
  <si>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</si>
  <si>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</si>
  <si>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</si>
  <si>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</si>
  <si>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</si>
  <si>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</si>
  <si>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</si>
  <si>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</si>
  <si>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</si>
  <si>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</si>
  <si>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</si>
  <si>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</si>
  <si>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</si>
  <si>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</si>
  <si>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</si>
  <si>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</si>
  <si>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</si>
  <si>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</si>
  <si>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</si>
  <si>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</si>
  <si>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</si>
  <si>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</si>
  <si>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</si>
  <si>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</si>
  <si>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</si>
  <si>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</si>
  <si>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</si>
  <si>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</si>
  <si>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</si>
  <si>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</si>
  <si>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</si>
  <si>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</si>
  <si>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</si>
  <si>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</si>
  <si>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</si>
  <si>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</si>
  <si>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</si>
  <si>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</si>
  <si>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</si>
  <si>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</si>
  <si>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</si>
  <si>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</si>
  <si>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</si>
  <si>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</si>
  <si>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</si>
  <si>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</si>
  <si>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</si>
  <si>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</si>
  <si>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</si>
  <si>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</si>
  <si>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</si>
  <si>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</si>
  <si>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</si>
  <si>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</si>
  <si>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</si>
  <si>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</si>
  <si>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</si>
  <si>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</si>
  <si>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</si>
  <si>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</si>
  <si>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</si>
  <si>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</si>
  <si>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</si>
  <si>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</si>
  <si>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</si>
  <si>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</si>
  <si>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</si>
  <si>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</si>
  <si>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</si>
  <si>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</si>
  <si>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</si>
  <si>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</si>
  <si>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</si>
  <si>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</si>
  <si>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</si>
  <si>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</si>
  <si>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</si>
  <si>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</si>
  <si>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</si>
  <si>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</si>
  <si>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</si>
  <si>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</si>
  <si>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</si>
  <si>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</si>
  <si>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</si>
  <si>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</si>
  <si>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</si>
  <si>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</si>
  <si>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</si>
  <si>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</si>
  <si>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</si>
  <si>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</si>
  <si>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</si>
  <si>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</si>
  <si>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</si>
  <si>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</si>
  <si>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</si>
  <si>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</si>
  <si>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</si>
  <si>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</si>
  <si>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</si>
  <si>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</si>
  <si>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</si>
  <si>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</si>
  <si>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</si>
  <si>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</si>
  <si>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</si>
  <si>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</si>
  <si>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</si>
  <si>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</si>
  <si>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</si>
  <si>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</si>
  <si>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</si>
  <si>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</si>
  <si>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</si>
  <si>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</si>
  <si>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</si>
  <si>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</si>
  <si>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</si>
  <si>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</si>
  <si>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</si>
  <si>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</si>
  <si>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</si>
  <si>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</si>
  <si>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</si>
  <si>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</si>
  <si>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</si>
  <si>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</si>
  <si>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</si>
  <si>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</si>
  <si>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</si>
  <si>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</si>
  <si>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</si>
  <si>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</si>
  <si>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</si>
  <si>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</si>
  <si>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</si>
  <si>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</si>
  <si>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</si>
  <si>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</si>
  <si>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</si>
  <si>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</si>
  <si>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</si>
  <si>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</si>
  <si>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</si>
  <si>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</si>
  <si>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</si>
  <si>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</si>
  <si>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</si>
  <si>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</si>
  <si>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</si>
  <si>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</si>
  <si>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</si>
  <si>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</si>
  <si>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</si>
  <si>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</si>
  <si>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</si>
  <si>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</si>
  <si>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</si>
  <si>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</si>
  <si>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</si>
  <si>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</si>
  <si>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</si>
  <si>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</si>
  <si>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</si>
  <si>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</si>
  <si>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</si>
  <si>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</si>
  <si>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</si>
  <si>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</si>
  <si>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</si>
  <si>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</si>
  <si>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</si>
  <si>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</si>
  <si>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</si>
  <si>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</si>
  <si>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</si>
  <si>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</si>
  <si>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</si>
  <si>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</si>
  <si>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</si>
  <si>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</si>
  <si>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</si>
  <si>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</si>
  <si>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</si>
  <si>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</si>
  <si>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</si>
  <si>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</si>
  <si>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</si>
  <si>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</si>
  <si>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</si>
  <si>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</si>
  <si>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</si>
  <si>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</si>
  <si>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</si>
  <si>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</si>
  <si>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</si>
  <si>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</si>
  <si>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</si>
  <si>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</si>
  <si>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</si>
  <si>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</si>
  <si>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</si>
  <si>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</si>
  <si>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</si>
  <si>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</si>
  <si>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</si>
  <si>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</si>
  <si>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</si>
  <si>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</si>
  <si>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</si>
  <si>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</si>
  <si>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</si>
  <si>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</si>
  <si>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</si>
  <si>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</si>
  <si>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</si>
  <si>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</si>
  <si>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</si>
  <si>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</si>
  <si>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</si>
  <si>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</si>
  <si>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</si>
  <si>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</si>
  <si>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</si>
  <si>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</si>
  <si>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</si>
  <si>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</si>
  <si>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</si>
  <si>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</si>
  <si>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</si>
  <si>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</si>
  <si>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</si>
  <si>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</si>
  <si>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</si>
  <si>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</si>
  <si>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</si>
  <si>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</si>
  <si>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</si>
  <si>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</si>
  <si>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</si>
  <si>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</si>
  <si>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</si>
  <si>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</si>
  <si>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</si>
  <si>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</si>
  <si>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Restructuring charges are costs associated with restructuring programs and are primarily related to employee severance and benefit arrangements. Charges related to restructuring are recorded within both cost of revenue and operating expenses in our US GAAP financial statements</t>
  </si>
  <si>
    <t>We exclude restructuring and other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</si>
  <si>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</si>
  <si>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certain items which may be non-recurring, unusual, infrequent and directly related to an event that is distinct and non-reflective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</si>
  <si>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</si>
  <si>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</si>
  <si>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</si>
  <si>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</si>
  <si>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</si>
  <si>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</si>
  <si>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</si>
  <si>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</si>
  <si>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</si>
  <si>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</si>
  <si>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</si>
  <si>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</si>
  <si>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</si>
  <si>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</si>
  <si>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</si>
  <si>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</si>
  <si>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</si>
  <si>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</si>
  <si>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Other incidentals consist of certain items which may be non-recurring, unusual, infrequent and directly related to an event that is distinct and non-reflective of the Company’s ongoing business operations. These may include such items as process and product transfer costs (which refer to the costs incurred in transferring a production process and products from one manufacturing site to another), certain charges related to acquisitions and divestitures, non-ordinary course litigation and legal settlements, costs associated with the exit of a product line, factory or facility, environmental or governmental settlements, and other items of similar nature.</t>
  </si>
  <si>
    <t>Non-GAAP Provision for income taxes</t>
  </si>
  <si>
    <t>The non-GAAP provision for income taxes is used to ascertain and present on a comparable basis NXPs provision for income tax after adjustments, the usefullness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</si>
  <si>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 accounted investee since the acquisition date. NXP’s share of the results of operations of the equity accounted investees are recognized in ‘Results relating to equity-accounted investees’.</t>
  </si>
  <si>
    <t>We eliminate our results relating to equity-accounted investees for purposes of non-GAAP measures as NXP does not have control relative to these results with NXP’s share of the results of operations of the equity accounted investees are recognized in GAAP Results relating to equity-accounted investees. Excluding these results provides management and investors with a more direct composition of NXPs core operating results as well as perood on period comparability.</t>
  </si>
  <si>
    <t>Non-GAAP Diluted earnings per share (EPS)</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</si>
  <si>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</si>
  <si>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</si>
  <si>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</si>
  <si>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</si>
  <si>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</si>
  <si>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</si>
  <si>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</si>
  <si>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</si>
  <si>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</si>
  <si>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</si>
  <si>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</si>
  <si>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</si>
  <si>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</si>
  <si>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</si>
  <si>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</si>
  <si>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</si>
  <si>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</si>
  <si>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</si>
  <si>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Non-GAAP provision for income taxes is NXP's GAAP provision for incomes taxes adjusted for the income tax effects of other adjustments to our GAAP measures as included in this table. This includes the effects of purchase price accounting (“PPA”), restructuring costs, share-based compensation, other incidental items and certain other adjustments to financial income (expense) items.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</si>
  <si>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</si>
  <si>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</si>
  <si>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</si>
  <si>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</si>
  <si>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We exclude merger-related costs as these items are related to activity which is viewed as non-recurring as they respectively relate to a distinct event. These are not 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</si>
  <si>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</si>
  <si>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</si>
  <si>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</si>
  <si>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do not use, only 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</si>
</sst>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666">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4" fillId="4" borderId="4" xfId="0" applyNumberFormat="1" applyFont="1" applyFill="1" applyBorder="1" applyAlignment="1">
      <alignment horizontal="right" vertical="top" wrapText="1"/>
    </xf>
    <xf numFmtId="0" fontId="0" fillId="4" borderId="0" xfId="0" applyFont="1" applyFill="1"/>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107950</xdr:rowOff>
        </xdr:from>
        <xdr:to>
          <xdr:col>6</xdr:col>
          <xdr:colOff>57150</xdr:colOff>
          <xdr:row>29</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tabSelected="1" zoomScale="115" zoomScaleNormal="115" workbookViewId="0">
      <selection activeCell="K33" sqref="K33"/>
    </sheetView>
  </sheetViews>
  <sheetFormatPr defaultColWidth="9.1796875" defaultRowHeight="13" x14ac:dyDescent="0.3"/>
  <cols>
    <col min="1" max="1" width="3.26953125" style="133" customWidth="1"/>
    <col min="2" max="2" width="21.1796875" style="22" customWidth="1"/>
    <col min="3" max="3" width="0.81640625" style="88" customWidth="1"/>
    <col min="4" max="4" width="53.7265625" style="88" customWidth="1"/>
    <col min="5" max="5" width="0.7265625" style="88" customWidth="1"/>
    <col min="6" max="6" width="53.7265625" style="88" customWidth="1"/>
    <col min="7" max="16384" width="9.1796875" style="88"/>
  </cols>
  <sheetData>
    <row r="11" spans="2:2" s="133" customFormat="1" x14ac:dyDescent="0.3">
      <c r="B11" s="22"/>
    </row>
    <row r="12" spans="2:2" s="133" customFormat="1" x14ac:dyDescent="0.3">
      <c r="B12" s="22"/>
    </row>
    <row r="13" spans="2:2" s="133" customFormat="1" x14ac:dyDescent="0.3">
      <c r="B13" s="22"/>
    </row>
    <row r="14" spans="2:2" s="133" customFormat="1" x14ac:dyDescent="0.3">
      <c r="B14" s="22"/>
    </row>
    <row r="32" spans="2:6" ht="21" x14ac:dyDescent="0.25">
      <c r="B32" s="614" t="s">
        <v>274</v>
      </c>
      <c r="C32" s="615"/>
      <c r="D32" s="615" t="s">
        <v>275</v>
      </c>
      <c r="E32" s="615"/>
      <c r="F32" s="616" t="s">
        <v>276</v>
      </c>
    </row>
    <row r="33" spans="2:6" ht="80" x14ac:dyDescent="0.25">
      <c r="B33" s="617" t="s">
        <v>11</v>
      </c>
      <c r="C33" s="618"/>
      <c r="D33" s="618" t="s">
        <v>299</v>
      </c>
      <c r="E33" s="618"/>
      <c r="F33" s="619" t="s">
        <v>277</v>
      </c>
    </row>
    <row r="34" spans="2:6" ht="60" x14ac:dyDescent="0.25">
      <c r="B34" s="620" t="s">
        <v>12</v>
      </c>
      <c r="C34" s="621"/>
      <c r="D34" s="621" t="s">
        <v>278</v>
      </c>
      <c r="E34" s="621"/>
      <c r="F34" s="622" t="s">
        <v>279</v>
      </c>
    </row>
    <row r="35" spans="2:6" ht="80" x14ac:dyDescent="0.25">
      <c r="B35" s="623" t="s">
        <v>322</v>
      </c>
      <c r="C35" s="618"/>
      <c r="D35" s="618" t="s">
        <v>323</v>
      </c>
      <c r="E35" s="618"/>
      <c r="F35" s="619" t="s">
        <v>280</v>
      </c>
    </row>
    <row r="36" spans="2:6" s="133" customFormat="1" ht="70" x14ac:dyDescent="0.25">
      <c r="B36" s="632" t="s">
        <v>160</v>
      </c>
      <c r="C36" s="625"/>
      <c r="D36" s="625" t="s">
        <v>328</v>
      </c>
      <c r="E36" s="625"/>
      <c r="F36" s="628" t="s">
        <v>329</v>
      </c>
    </row>
    <row r="37" spans="2:6" ht="80" x14ac:dyDescent="0.25">
      <c r="B37" s="617" t="s">
        <v>119</v>
      </c>
      <c r="C37" s="618"/>
      <c r="D37" s="618" t="s">
        <v>300</v>
      </c>
      <c r="E37" s="618"/>
      <c r="F37" s="619" t="s">
        <v>281</v>
      </c>
    </row>
    <row r="38" spans="2:6" ht="20" x14ac:dyDescent="0.25">
      <c r="B38" s="633" t="s">
        <v>283</v>
      </c>
      <c r="C38" s="634"/>
      <c r="D38" s="634" t="s">
        <v>284</v>
      </c>
      <c r="E38" s="634"/>
      <c r="F38" s="658" t="s">
        <v>282</v>
      </c>
    </row>
    <row r="39" spans="2:6" ht="12.5" x14ac:dyDescent="0.25">
      <c r="B39" s="635"/>
      <c r="C39" s="636"/>
      <c r="D39" s="636"/>
      <c r="E39" s="636"/>
      <c r="F39" s="659"/>
    </row>
    <row r="40" spans="2:6" ht="20" x14ac:dyDescent="0.25">
      <c r="B40" s="635" t="s">
        <v>211</v>
      </c>
      <c r="C40" s="636"/>
      <c r="D40" s="636" t="s">
        <v>285</v>
      </c>
      <c r="E40" s="636"/>
      <c r="F40" s="659"/>
    </row>
    <row r="41" spans="2:6" ht="12.5" x14ac:dyDescent="0.25">
      <c r="B41" s="635"/>
      <c r="C41" s="636"/>
      <c r="D41" s="636"/>
      <c r="E41" s="636"/>
      <c r="F41" s="659"/>
    </row>
    <row r="42" spans="2:6" ht="30" x14ac:dyDescent="0.25">
      <c r="B42" s="637" t="s">
        <v>286</v>
      </c>
      <c r="C42" s="638"/>
      <c r="D42" s="638" t="s">
        <v>287</v>
      </c>
      <c r="E42" s="638"/>
      <c r="F42" s="660"/>
    </row>
    <row r="43" spans="2:6" ht="60" x14ac:dyDescent="0.25">
      <c r="B43" s="617" t="s">
        <v>301</v>
      </c>
      <c r="C43" s="618"/>
      <c r="D43" s="629" t="s">
        <v>324</v>
      </c>
      <c r="E43" s="630"/>
      <c r="F43" s="619" t="s">
        <v>302</v>
      </c>
    </row>
    <row r="44" spans="2:6" ht="70" x14ac:dyDescent="0.25">
      <c r="B44" s="624" t="s">
        <v>175</v>
      </c>
      <c r="C44" s="625"/>
      <c r="D44" s="626" t="s">
        <v>303</v>
      </c>
      <c r="E44" s="627"/>
      <c r="F44" s="628" t="s">
        <v>304</v>
      </c>
    </row>
    <row r="45" spans="2:6" ht="110" x14ac:dyDescent="0.25">
      <c r="B45" s="617" t="s">
        <v>305</v>
      </c>
      <c r="C45" s="618"/>
      <c r="D45" s="631" t="s">
        <v>325</v>
      </c>
      <c r="E45" s="630"/>
      <c r="F45" s="639" t="s">
        <v>306</v>
      </c>
    </row>
    <row r="46" spans="2:6" ht="70" x14ac:dyDescent="0.25">
      <c r="B46" s="649" t="s">
        <v>292</v>
      </c>
      <c r="C46" s="650"/>
      <c r="D46" s="651" t="s">
        <v>291</v>
      </c>
      <c r="E46" s="652"/>
      <c r="F46" s="653" t="s">
        <v>326</v>
      </c>
    </row>
    <row r="47" spans="2:6" ht="110" x14ac:dyDescent="0.25">
      <c r="B47" s="617" t="s">
        <v>307</v>
      </c>
      <c r="C47" s="618"/>
      <c r="D47" s="631" t="s">
        <v>327</v>
      </c>
      <c r="E47" s="630"/>
      <c r="F47" s="639" t="s">
        <v>330</v>
      </c>
    </row>
    <row r="48" spans="2:6" ht="40" x14ac:dyDescent="0.25">
      <c r="B48" s="624" t="s">
        <v>288</v>
      </c>
      <c r="C48" s="625"/>
      <c r="D48" s="625" t="s">
        <v>289</v>
      </c>
      <c r="E48" s="625"/>
      <c r="F48" s="628" t="s">
        <v>290</v>
      </c>
    </row>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drawing r:id="rId4"/>
  <legacyDrawing r:id="rId5"/>
  <oleObjects>
    <mc:AlternateContent xmlns:mc="http://schemas.openxmlformats.org/markup-compatibility/2006">
      <mc:Choice Requires="x14">
        <oleObject progId="Document" shapeId="1025" r:id="rId6">
          <objectPr defaultSize="0" autoPict="0" r:id="rId7">
            <anchor moveWithCells="1">
              <from>
                <xdr:col>1</xdr:col>
                <xdr:colOff>19050</xdr:colOff>
                <xdr:row>0</xdr:row>
                <xdr:rowOff>107950</xdr:rowOff>
              </from>
              <to>
                <xdr:col>6</xdr:col>
                <xdr:colOff>57150</xdr:colOff>
                <xdr:row>29</xdr:row>
                <xdr:rowOff>95250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62"/>
  <sheetViews>
    <sheetView zoomScaleNormal="100" workbookViewId="0">
      <pane xSplit="1" ySplit="4" topLeftCell="O11" activePane="bottomRight" state="frozen"/>
      <selection activeCell="N50" sqref="N50"/>
      <selection pane="topRight" activeCell="N50" sqref="N50"/>
      <selection pane="bottomLeft" activeCell="N50" sqref="N50"/>
      <selection pane="bottomRight" activeCell="W34" sqref="W34"/>
    </sheetView>
  </sheetViews>
  <sheetFormatPr defaultRowHeight="12.5" outlineLevelCol="1" x14ac:dyDescent="0.25"/>
  <cols>
    <col min="1" max="1" width="45.453125" customWidth="1"/>
    <col min="2" max="23" width="9.1796875" style="133" customWidth="1" outlineLevel="1"/>
    <col min="24" max="25" width="9.1796875" style="133" hidden="1" customWidth="1" outlineLevel="1"/>
    <col min="26" max="26" width="8.453125" customWidth="1"/>
    <col min="27" max="30" width="9.1796875" style="133" customWidth="1"/>
    <col min="31" max="32" width="8.7265625" style="133" customWidth="1"/>
    <col min="34" max="34" width="12" bestFit="1" customWidth="1"/>
  </cols>
  <sheetData>
    <row r="1" spans="1:32" ht="14" x14ac:dyDescent="0.3">
      <c r="A1" s="1" t="s">
        <v>0</v>
      </c>
    </row>
    <row r="2" spans="1:32" ht="14.5" thickBot="1" x14ac:dyDescent="0.35">
      <c r="A2" s="1" t="s">
        <v>102</v>
      </c>
      <c r="AC2" s="535"/>
      <c r="AD2" s="535"/>
      <c r="AF2" s="133" t="s">
        <v>222</v>
      </c>
    </row>
    <row r="3" spans="1:32" s="3" customFormat="1" ht="14.25" customHeight="1" thickBot="1" x14ac:dyDescent="0.3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2" s="2" customFormat="1" ht="14.25" customHeight="1" x14ac:dyDescent="0.25">
      <c r="A4" s="5"/>
      <c r="B4" s="84"/>
      <c r="C4" s="284"/>
      <c r="D4" s="26"/>
      <c r="E4" s="83"/>
      <c r="F4" s="84"/>
      <c r="G4" s="284"/>
      <c r="H4" s="26"/>
      <c r="I4" s="83"/>
      <c r="J4" s="84"/>
      <c r="K4" s="284"/>
      <c r="L4" s="26"/>
      <c r="M4" s="83"/>
      <c r="N4" s="84"/>
      <c r="O4" s="284"/>
      <c r="P4" s="26"/>
      <c r="Q4" s="83"/>
      <c r="R4" s="84"/>
      <c r="S4" s="284"/>
      <c r="T4" s="26"/>
      <c r="U4" s="83"/>
      <c r="V4" s="83"/>
      <c r="W4" s="83"/>
      <c r="X4" s="83"/>
      <c r="Y4" s="83"/>
      <c r="AA4" s="4"/>
      <c r="AB4" s="4"/>
      <c r="AC4" s="4"/>
      <c r="AD4" s="4"/>
      <c r="AE4" s="4"/>
      <c r="AF4" s="4"/>
    </row>
    <row r="5" spans="1:32" s="2" customFormat="1" ht="13.75" customHeight="1" x14ac:dyDescent="0.25">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v>3299</v>
      </c>
      <c r="X5" s="134"/>
      <c r="Y5" s="134"/>
      <c r="Z5" s="60"/>
      <c r="AA5" s="72">
        <v>9407</v>
      </c>
      <c r="AB5" s="72">
        <f>SUM(F5:I5)</f>
        <v>8877</v>
      </c>
      <c r="AC5" s="72">
        <f>SUM(J5:M5)</f>
        <v>8612</v>
      </c>
      <c r="AD5" s="72">
        <f>N5+O5+P5+Q5</f>
        <v>11063</v>
      </c>
      <c r="AE5" s="72">
        <f>SUM(R5:U5)</f>
        <v>13205</v>
      </c>
      <c r="AF5" s="72">
        <f>SUM(V5:Y5)</f>
        <v>6420</v>
      </c>
    </row>
    <row r="6" spans="1:32" s="2" customFormat="1" ht="13.75" customHeight="1" x14ac:dyDescent="0.25">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v>-1418</v>
      </c>
      <c r="X6" s="140"/>
      <c r="Y6" s="140"/>
      <c r="Z6" s="60"/>
      <c r="AA6" s="48">
        <v>-4556</v>
      </c>
      <c r="AB6" s="48">
        <f>SUM(F6:I6)</f>
        <v>-4259</v>
      </c>
      <c r="AC6" s="48">
        <f>SUM(J6:M6)</f>
        <v>-4377</v>
      </c>
      <c r="AD6" s="48">
        <f>N6+O6+P6+Q6</f>
        <v>-4996</v>
      </c>
      <c r="AE6" s="48">
        <f>SUM(R6:U6)</f>
        <v>-5688</v>
      </c>
      <c r="AF6" s="48">
        <f>SUM(V6:Y6)</f>
        <v>-2769</v>
      </c>
    </row>
    <row r="7" spans="1:32" s="2" customFormat="1" ht="10.15" customHeight="1" x14ac:dyDescent="0.25">
      <c r="A7" s="10"/>
      <c r="B7" s="120"/>
      <c r="C7" s="132"/>
      <c r="D7" s="47"/>
      <c r="E7" s="129"/>
      <c r="F7" s="120"/>
      <c r="G7" s="132"/>
      <c r="H7" s="47"/>
      <c r="I7" s="129"/>
      <c r="J7" s="120"/>
      <c r="K7" s="132"/>
      <c r="L7" s="47"/>
      <c r="M7" s="129"/>
      <c r="N7" s="120"/>
      <c r="O7" s="132"/>
      <c r="P7" s="47"/>
      <c r="Q7" s="129"/>
      <c r="R7" s="120"/>
      <c r="S7" s="132"/>
      <c r="T7" s="47"/>
      <c r="U7" s="129"/>
      <c r="V7" s="129"/>
      <c r="W7" s="129"/>
      <c r="X7" s="129"/>
      <c r="Y7" s="129"/>
      <c r="Z7" s="60"/>
      <c r="AA7" s="44"/>
      <c r="AB7" s="44"/>
      <c r="AC7" s="44"/>
      <c r="AD7" s="44"/>
      <c r="AE7" s="44"/>
      <c r="AF7" s="44"/>
    </row>
    <row r="8" spans="1:32" s="2" customFormat="1" ht="13.75" customHeight="1" x14ac:dyDescent="0.25">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v>1881</v>
      </c>
      <c r="X8" s="134"/>
      <c r="Y8" s="134"/>
      <c r="Z8" s="60"/>
      <c r="AA8" s="72">
        <v>4851</v>
      </c>
      <c r="AB8" s="72">
        <f>SUM(F8:I8)</f>
        <v>4618</v>
      </c>
      <c r="AC8" s="72">
        <f>SUM(J8:M8)</f>
        <v>4235</v>
      </c>
      <c r="AD8" s="72">
        <f>N8+O8+P8+Q8</f>
        <v>6067</v>
      </c>
      <c r="AE8" s="72">
        <f>SUM(R8:U8)</f>
        <v>7517</v>
      </c>
      <c r="AF8" s="72">
        <f>SUM(V8:Y8)</f>
        <v>3651</v>
      </c>
    </row>
    <row r="9" spans="1:32" s="2" customFormat="1" ht="10.15" customHeight="1" x14ac:dyDescent="0.25">
      <c r="A9" s="10"/>
      <c r="B9" s="120"/>
      <c r="C9" s="132"/>
      <c r="D9" s="47"/>
      <c r="E9" s="129"/>
      <c r="F9" s="120"/>
      <c r="G9" s="132"/>
      <c r="H9" s="47"/>
      <c r="I9" s="129"/>
      <c r="J9" s="120"/>
      <c r="K9" s="132"/>
      <c r="L9" s="47"/>
      <c r="M9" s="129"/>
      <c r="N9" s="120"/>
      <c r="O9" s="132"/>
      <c r="P9" s="47"/>
      <c r="Q9" s="129"/>
      <c r="R9" s="120"/>
      <c r="S9" s="132"/>
      <c r="T9" s="47"/>
      <c r="U9" s="129"/>
      <c r="V9" s="129"/>
      <c r="W9" s="129"/>
      <c r="X9" s="129"/>
      <c r="Y9" s="129"/>
      <c r="Z9" s="60"/>
      <c r="AA9" s="44"/>
      <c r="AB9" s="44"/>
      <c r="AC9" s="44"/>
      <c r="AD9" s="44"/>
      <c r="AE9" s="44"/>
      <c r="AF9" s="44"/>
    </row>
    <row r="10" spans="1:32" s="2" customFormat="1" ht="13.75" customHeight="1" x14ac:dyDescent="0.25">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v>-589</v>
      </c>
      <c r="X10" s="129"/>
      <c r="Y10" s="129"/>
      <c r="Z10" s="60"/>
      <c r="AA10" s="44">
        <v>-1700</v>
      </c>
      <c r="AB10" s="44">
        <f>SUM(F10:I10)</f>
        <v>-1643</v>
      </c>
      <c r="AC10" s="44">
        <f>SUM(J10:M10)</f>
        <v>-1725</v>
      </c>
      <c r="AD10" s="44">
        <f>N10+O10+P10+Q10</f>
        <v>-1936</v>
      </c>
      <c r="AE10" s="44">
        <f>SUM(R10:U10)</f>
        <v>-2148</v>
      </c>
      <c r="AF10" s="44">
        <f t="shared" ref="AF10:AF13" si="0">SUM(V10:Y10)</f>
        <v>-1166</v>
      </c>
    </row>
    <row r="11" spans="1:32" s="2" customFormat="1" ht="13.75" customHeight="1" x14ac:dyDescent="0.25">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v>-274</v>
      </c>
      <c r="X11" s="129"/>
      <c r="Y11" s="129"/>
      <c r="Z11" s="60"/>
      <c r="AA11" s="44">
        <v>-993</v>
      </c>
      <c r="AB11" s="44">
        <f>SUM(F11:I11)</f>
        <v>-924</v>
      </c>
      <c r="AC11" s="44">
        <f>SUM(J11:M11)</f>
        <v>-879</v>
      </c>
      <c r="AD11" s="44">
        <f>N11+O11+P11+Q11</f>
        <v>-956</v>
      </c>
      <c r="AE11" s="44">
        <f>SUM(R11:U11)</f>
        <v>-1066</v>
      </c>
      <c r="AF11" s="44">
        <f t="shared" si="0"/>
        <v>-554</v>
      </c>
    </row>
    <row r="12" spans="1:32" s="2" customFormat="1" x14ac:dyDescent="0.25">
      <c r="A12" s="347" t="s">
        <v>309</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v>-81</v>
      </c>
      <c r="X12" s="141"/>
      <c r="Y12" s="141"/>
      <c r="Z12" s="60"/>
      <c r="AA12" s="99">
        <v>-1449</v>
      </c>
      <c r="AB12" s="99">
        <f>SUM(F12:I12)</f>
        <v>-1435</v>
      </c>
      <c r="AC12" s="99">
        <f>SUM(J12:M12)</f>
        <v>-1327</v>
      </c>
      <c r="AD12" s="99">
        <f>N12+O12+P12+Q12</f>
        <v>-592</v>
      </c>
      <c r="AE12" s="99">
        <f>SUM(R12:U12)</f>
        <v>-509</v>
      </c>
      <c r="AF12" s="99">
        <f t="shared" si="0"/>
        <v>-166</v>
      </c>
    </row>
    <row r="13" spans="1:32" s="2" customFormat="1" ht="13.75" customHeight="1" x14ac:dyDescent="0.25">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v>-944</v>
      </c>
      <c r="X13" s="129"/>
      <c r="Y13" s="129"/>
      <c r="Z13" s="60"/>
      <c r="AA13" s="44">
        <v>-4142</v>
      </c>
      <c r="AB13" s="44">
        <f>SUM(F13:I13)</f>
        <v>-4002</v>
      </c>
      <c r="AC13" s="44">
        <f>SUM(J13:M13)</f>
        <v>-3931</v>
      </c>
      <c r="AD13" s="44">
        <f>N13+O13+P13+Q13</f>
        <v>-3484</v>
      </c>
      <c r="AE13" s="44">
        <f>SUM(R13:U13)</f>
        <v>-3723</v>
      </c>
      <c r="AF13" s="44">
        <f t="shared" si="0"/>
        <v>-1886</v>
      </c>
    </row>
    <row r="14" spans="1:32" s="2" customFormat="1" ht="10.15" customHeight="1" x14ac:dyDescent="0.25">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60"/>
      <c r="AA14" s="44"/>
      <c r="AB14" s="44"/>
      <c r="AC14" s="44"/>
      <c r="AD14" s="44"/>
      <c r="AE14" s="44"/>
      <c r="AF14" s="44"/>
    </row>
    <row r="15" spans="1:32" s="2" customFormat="1" ht="13.75" customHeight="1" x14ac:dyDescent="0.25">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3">
        <v>0</v>
      </c>
      <c r="R15" s="335">
        <v>0</v>
      </c>
      <c r="S15" s="404">
        <v>2</v>
      </c>
      <c r="T15" s="404">
        <v>2</v>
      </c>
      <c r="U15" s="563">
        <v>-1</v>
      </c>
      <c r="V15" s="563">
        <v>-3</v>
      </c>
      <c r="W15" s="563">
        <v>0</v>
      </c>
      <c r="X15" s="563"/>
      <c r="Y15" s="563"/>
      <c r="Z15" s="60"/>
      <c r="AA15" s="48">
        <v>2001</v>
      </c>
      <c r="AB15" s="48">
        <f>SUM(F15:I15)</f>
        <v>25</v>
      </c>
      <c r="AC15" s="48">
        <f>SUM(J15:M15)</f>
        <v>114</v>
      </c>
      <c r="AD15" s="560">
        <f>N15+O15+P15+Q15</f>
        <v>0</v>
      </c>
      <c r="AE15" s="560">
        <f>SUM(R15:U15)</f>
        <v>3</v>
      </c>
      <c r="AF15" s="560">
        <f>SUM(V15:Y15)</f>
        <v>-3</v>
      </c>
    </row>
    <row r="16" spans="1:32" s="2" customFormat="1" ht="10.15" customHeight="1" x14ac:dyDescent="0.25">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60"/>
      <c r="AA16" s="44"/>
      <c r="AB16" s="44"/>
      <c r="AC16" s="44"/>
      <c r="AD16" s="44"/>
      <c r="AE16" s="44"/>
      <c r="AF16" s="44"/>
    </row>
    <row r="17" spans="1:32" s="2" customFormat="1" ht="13.75" customHeight="1" x14ac:dyDescent="0.25">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v>937</v>
      </c>
      <c r="X17" s="134"/>
      <c r="Y17" s="134"/>
      <c r="Z17" s="60"/>
      <c r="AA17" s="72">
        <v>2710</v>
      </c>
      <c r="AB17" s="72">
        <f>SUM(F17:I17)</f>
        <v>641</v>
      </c>
      <c r="AC17" s="72">
        <f>SUM(J17:M17)</f>
        <v>418</v>
      </c>
      <c r="AD17" s="72">
        <f>N17+O17+P17+Q17</f>
        <v>2583</v>
      </c>
      <c r="AE17" s="72">
        <f>SUM(R17:U17)</f>
        <v>3797</v>
      </c>
      <c r="AF17" s="72">
        <f>SUM(V17:Y17)</f>
        <v>1762</v>
      </c>
    </row>
    <row r="18" spans="1:32" s="2" customFormat="1" ht="10.15" customHeight="1" x14ac:dyDescent="0.25">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60"/>
      <c r="AA18" s="44"/>
      <c r="AB18" s="44"/>
      <c r="AC18" s="44"/>
      <c r="AD18" s="44"/>
      <c r="AE18" s="44"/>
      <c r="AF18" s="44"/>
    </row>
    <row r="19" spans="1:32" s="2" customFormat="1" ht="13.75" customHeight="1" x14ac:dyDescent="0.25">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60"/>
      <c r="AA19" s="44"/>
      <c r="AB19" s="44"/>
      <c r="AC19" s="44"/>
      <c r="AD19" s="44"/>
      <c r="AE19" s="44"/>
      <c r="AF19" s="44"/>
    </row>
    <row r="20" spans="1:32" s="2" customFormat="1" ht="13.75" customHeight="1" x14ac:dyDescent="0.25">
      <c r="A20" s="347" t="s">
        <v>310</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v>-66</v>
      </c>
      <c r="X20" s="197"/>
      <c r="Y20" s="197"/>
      <c r="Z20" s="373"/>
      <c r="AA20" s="374">
        <v>-225</v>
      </c>
      <c r="AB20" s="374">
        <v>-313</v>
      </c>
      <c r="AC20" s="374">
        <f>SUM(J20:M20)</f>
        <v>-349</v>
      </c>
      <c r="AD20" s="374">
        <f>N20+O20+P20+Q20</f>
        <v>-365</v>
      </c>
      <c r="AE20" s="374">
        <f>SUM(R20:U20)</f>
        <v>-366</v>
      </c>
      <c r="AF20" s="374">
        <f>SUM(V20:Y20)</f>
        <v>-135</v>
      </c>
    </row>
    <row r="21" spans="1:32" s="2" customFormat="1" ht="13.75" customHeight="1" x14ac:dyDescent="0.25">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v>0</v>
      </c>
      <c r="X21" s="390"/>
      <c r="Y21" s="390"/>
      <c r="Z21" s="373"/>
      <c r="AA21" s="376">
        <v>-26</v>
      </c>
      <c r="AB21" s="376">
        <f>SUM(F21:I21)</f>
        <v>-11</v>
      </c>
      <c r="AC21" s="376">
        <f>SUM(J21:M21)</f>
        <v>-60</v>
      </c>
      <c r="AD21" s="376">
        <f>N21+O21+P21+Q21</f>
        <v>-22</v>
      </c>
      <c r="AE21" s="376">
        <f>SUM(R21:U21)</f>
        <v>-18</v>
      </c>
      <c r="AF21" s="376">
        <f>SUM(V21:Y21)</f>
        <v>0</v>
      </c>
    </row>
    <row r="22" spans="1:32" s="2" customFormat="1" ht="13.75" customHeight="1" x14ac:dyDescent="0.25">
      <c r="A22" s="347" t="s">
        <v>158</v>
      </c>
      <c r="B22" s="119">
        <v>-6</v>
      </c>
      <c r="C22" s="287">
        <v>4</v>
      </c>
      <c r="D22" s="49">
        <v>-71</v>
      </c>
      <c r="E22" s="377">
        <v>-11</v>
      </c>
      <c r="F22" s="119">
        <v>-9</v>
      </c>
      <c r="G22" s="287">
        <v>-2</v>
      </c>
      <c r="H22" s="49">
        <v>-3</v>
      </c>
      <c r="I22" s="377">
        <v>-12</v>
      </c>
      <c r="J22" s="536">
        <v>0</v>
      </c>
      <c r="K22" s="287">
        <v>-6</v>
      </c>
      <c r="L22" s="49">
        <v>-9</v>
      </c>
      <c r="M22" s="377">
        <v>7</v>
      </c>
      <c r="N22" s="536">
        <v>-1</v>
      </c>
      <c r="O22" s="287">
        <v>-11</v>
      </c>
      <c r="P22" s="49">
        <v>2</v>
      </c>
      <c r="Q22" s="377">
        <v>-6</v>
      </c>
      <c r="R22" s="536">
        <v>-3</v>
      </c>
      <c r="S22" s="287">
        <v>-10</v>
      </c>
      <c r="T22" s="49">
        <v>-10</v>
      </c>
      <c r="U22" s="377">
        <v>-27</v>
      </c>
      <c r="V22" s="377">
        <v>-13</v>
      </c>
      <c r="W22" s="377">
        <v>-8</v>
      </c>
      <c r="X22" s="377"/>
      <c r="Y22" s="377"/>
      <c r="Z22" s="373"/>
      <c r="AA22" s="378">
        <v>-84</v>
      </c>
      <c r="AB22" s="378">
        <f>SUM(F22:I22)</f>
        <v>-26</v>
      </c>
      <c r="AC22" s="378">
        <f>SUM(J22:M22)</f>
        <v>-8</v>
      </c>
      <c r="AD22" s="378">
        <f>N22+O22+P22+Q22</f>
        <v>-16</v>
      </c>
      <c r="AE22" s="378">
        <f>SUM(R22:U22)</f>
        <v>-50</v>
      </c>
      <c r="AF22" s="378">
        <f>SUM(V22:Y22)</f>
        <v>-21</v>
      </c>
    </row>
    <row r="23" spans="1:32" s="2" customFormat="1" ht="10.15" customHeight="1" x14ac:dyDescent="0.25">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373"/>
      <c r="AA23" s="374"/>
      <c r="AB23" s="374"/>
      <c r="AC23" s="374"/>
      <c r="AD23" s="374"/>
      <c r="AE23" s="374"/>
      <c r="AF23" s="374"/>
    </row>
    <row r="24" spans="1:32" s="2" customFormat="1" ht="13.75" customHeight="1" x14ac:dyDescent="0.25">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v>863</v>
      </c>
      <c r="X24" s="379"/>
      <c r="Y24" s="379"/>
      <c r="Z24" s="373"/>
      <c r="AA24" s="380">
        <v>2375</v>
      </c>
      <c r="AB24" s="380">
        <f>SUM(F24:I24)</f>
        <v>291</v>
      </c>
      <c r="AC24" s="380">
        <f>SUM(J24:M24)</f>
        <v>1</v>
      </c>
      <c r="AD24" s="380">
        <f>N24+O24+P24+Q24</f>
        <v>2180</v>
      </c>
      <c r="AE24" s="380">
        <f>SUM(R24:U24)</f>
        <v>3363</v>
      </c>
      <c r="AF24" s="380">
        <f>SUM(V24:Y24)</f>
        <v>1606</v>
      </c>
    </row>
    <row r="25" spans="1:32" s="2" customFormat="1" ht="10.15" customHeight="1" x14ac:dyDescent="0.25">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60"/>
      <c r="AA25" s="44"/>
      <c r="AB25" s="44"/>
      <c r="AC25" s="44"/>
      <c r="AD25" s="44"/>
      <c r="AE25" s="44"/>
      <c r="AF25" s="44"/>
    </row>
    <row r="26" spans="1:32" s="2" customFormat="1" ht="13.75" customHeight="1" x14ac:dyDescent="0.25">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v>-158</v>
      </c>
      <c r="X26" s="135"/>
      <c r="Y26" s="135"/>
      <c r="Z26" s="85"/>
      <c r="AA26" s="44">
        <v>-176</v>
      </c>
      <c r="AB26" s="44">
        <f>SUM(F26:I26)</f>
        <v>-20</v>
      </c>
      <c r="AC26" s="44">
        <f>SUM(J26:M26)</f>
        <v>83</v>
      </c>
      <c r="AD26" s="44">
        <f t="shared" ref="AD26:AD27" si="1">N26+O26+P26+Q26</f>
        <v>-272</v>
      </c>
      <c r="AE26" s="44">
        <f>SUM(R26:U26)</f>
        <v>-529</v>
      </c>
      <c r="AF26" s="44">
        <f t="shared" ref="AF26:AF27" si="2">SUM(V26:Y26)</f>
        <v>-276</v>
      </c>
    </row>
    <row r="27" spans="1:32" s="2" customFormat="1" x14ac:dyDescent="0.25">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v>-1</v>
      </c>
      <c r="X27" s="141"/>
      <c r="Y27" s="141"/>
      <c r="Z27" s="59"/>
      <c r="AA27" s="99">
        <v>59</v>
      </c>
      <c r="AB27" s="99">
        <f>SUM(F27:I27)</f>
        <v>1</v>
      </c>
      <c r="AC27" s="99">
        <f>SUM(J27:M27)</f>
        <v>-4</v>
      </c>
      <c r="AD27" s="99">
        <f t="shared" si="1"/>
        <v>-2</v>
      </c>
      <c r="AE27" s="99">
        <f>SUM(R27:U27)</f>
        <v>-1</v>
      </c>
      <c r="AF27" s="99">
        <f t="shared" si="2"/>
        <v>-3</v>
      </c>
    </row>
    <row r="28" spans="1:32" s="2" customFormat="1" ht="10.15" customHeight="1" x14ac:dyDescent="0.25">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60"/>
      <c r="AA28" s="44"/>
      <c r="AB28" s="44"/>
      <c r="AC28" s="44"/>
      <c r="AD28" s="44"/>
      <c r="AE28" s="44"/>
      <c r="AF28" s="44"/>
    </row>
    <row r="29" spans="1:32" s="2" customFormat="1" ht="13.75" customHeight="1" x14ac:dyDescent="0.3">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v>704</v>
      </c>
      <c r="X29" s="142"/>
      <c r="Y29" s="142"/>
      <c r="Z29" s="59"/>
      <c r="AA29" s="111">
        <v>2258</v>
      </c>
      <c r="AB29" s="111">
        <f>SUM(F29:I29)</f>
        <v>272</v>
      </c>
      <c r="AC29" s="111">
        <f>SUM(J29:M29)</f>
        <v>80</v>
      </c>
      <c r="AD29" s="111">
        <f>N29+O29+P29+Q29</f>
        <v>1906</v>
      </c>
      <c r="AE29" s="111">
        <f>SUM(R29:U29)</f>
        <v>2833</v>
      </c>
      <c r="AF29" s="111">
        <f>SUM(V29:Y29)</f>
        <v>1327</v>
      </c>
    </row>
    <row r="30" spans="1:32" s="2" customFormat="1" ht="10.15" customHeight="1" x14ac:dyDescent="0.25">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60"/>
      <c r="AA30" s="44"/>
      <c r="AB30" s="44"/>
      <c r="AC30" s="44"/>
      <c r="AD30" s="44"/>
      <c r="AE30" s="44"/>
      <c r="AF30" s="44"/>
    </row>
    <row r="31" spans="1:32" s="2" customFormat="1" ht="26.5" customHeight="1" x14ac:dyDescent="0.25">
      <c r="A31" s="10" t="s">
        <v>113</v>
      </c>
      <c r="B31" s="337">
        <v>0</v>
      </c>
      <c r="C31" s="343">
        <v>0</v>
      </c>
      <c r="D31" s="405">
        <v>0</v>
      </c>
      <c r="E31" s="216" t="s">
        <v>97</v>
      </c>
      <c r="F31" s="337" t="s">
        <v>97</v>
      </c>
      <c r="G31" s="343">
        <v>0</v>
      </c>
      <c r="H31" s="405">
        <v>0</v>
      </c>
      <c r="I31" s="534">
        <v>0</v>
      </c>
      <c r="J31" s="337">
        <v>0</v>
      </c>
      <c r="K31" s="343">
        <v>0</v>
      </c>
      <c r="L31" s="405">
        <v>0</v>
      </c>
      <c r="M31" s="534">
        <v>0</v>
      </c>
      <c r="N31" s="337">
        <v>0</v>
      </c>
      <c r="O31" s="343">
        <v>0</v>
      </c>
      <c r="P31" s="405">
        <v>0</v>
      </c>
      <c r="Q31" s="534">
        <v>0</v>
      </c>
      <c r="R31" s="337">
        <v>0</v>
      </c>
      <c r="S31" s="343">
        <v>0</v>
      </c>
      <c r="T31" s="405">
        <v>0</v>
      </c>
      <c r="U31" s="534">
        <v>0</v>
      </c>
      <c r="V31" s="534">
        <v>0</v>
      </c>
      <c r="W31" s="534">
        <v>0</v>
      </c>
      <c r="X31" s="534"/>
      <c r="Y31" s="534"/>
      <c r="Z31" s="59"/>
      <c r="AA31" s="348">
        <v>0</v>
      </c>
      <c r="AB31" s="348"/>
      <c r="AC31" s="348">
        <f>SUM(J31:M31)</f>
        <v>0</v>
      </c>
      <c r="AD31" s="348">
        <f>N31+O31+P31+Q31</f>
        <v>0</v>
      </c>
      <c r="AE31" s="348">
        <f>SUM(R31:U31)</f>
        <v>0</v>
      </c>
      <c r="AF31" s="348">
        <f>SUM(V31:Y31)</f>
        <v>0</v>
      </c>
    </row>
    <row r="32" spans="1:32" s="2" customFormat="1" ht="10.15" customHeight="1" x14ac:dyDescent="0.25">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60"/>
      <c r="AA32" s="44"/>
      <c r="AB32" s="44"/>
      <c r="AC32" s="44"/>
      <c r="AD32" s="44"/>
      <c r="AE32" s="44"/>
      <c r="AF32" s="44"/>
    </row>
    <row r="33" spans="1:32" s="2" customFormat="1" ht="13.75" customHeight="1" x14ac:dyDescent="0.25">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v>704</v>
      </c>
      <c r="X33" s="134"/>
      <c r="Y33" s="134"/>
      <c r="Z33" s="60"/>
      <c r="AA33" s="72">
        <v>2258</v>
      </c>
      <c r="AB33" s="72">
        <f>SUM(F33:I33)</f>
        <v>272</v>
      </c>
      <c r="AC33" s="72">
        <f>SUM(J33:M33)</f>
        <v>80</v>
      </c>
      <c r="AD33" s="72">
        <f>N33+O33+P33+Q33</f>
        <v>1906</v>
      </c>
      <c r="AE33" s="72">
        <f>SUM(R33:U33)</f>
        <v>2833</v>
      </c>
      <c r="AF33" s="72">
        <f>SUM(V33:Y33)</f>
        <v>1327</v>
      </c>
    </row>
    <row r="34" spans="1:32" s="2" customFormat="1" ht="10.15" customHeight="1" x14ac:dyDescent="0.25">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60"/>
      <c r="AA34" s="72"/>
      <c r="AB34" s="72"/>
      <c r="AC34" s="72"/>
      <c r="AD34" s="72"/>
      <c r="AE34" s="72"/>
      <c r="AF34" s="72"/>
    </row>
    <row r="35" spans="1:32" s="2" customFormat="1" ht="25.5" customHeight="1" x14ac:dyDescent="0.25">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v>-6</v>
      </c>
      <c r="X35" s="141"/>
      <c r="Y35" s="141"/>
      <c r="Z35" s="59"/>
      <c r="AA35" s="99">
        <v>-50</v>
      </c>
      <c r="AB35" s="99">
        <f>SUM(F35:I35)</f>
        <v>-29</v>
      </c>
      <c r="AC35" s="99">
        <f>SUM(J35:M35)</f>
        <v>-28</v>
      </c>
      <c r="AD35" s="99">
        <f>N35+O35+P35+Q35</f>
        <v>-35</v>
      </c>
      <c r="AE35" s="99">
        <f>SUM(R35:U35)</f>
        <v>-46</v>
      </c>
      <c r="AF35" s="99">
        <f>SUM(V35:Y35)</f>
        <v>-14</v>
      </c>
    </row>
    <row r="36" spans="1:32" s="2" customFormat="1" ht="10.15" customHeight="1" x14ac:dyDescent="0.25">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60"/>
      <c r="AA36" s="44"/>
      <c r="AB36" s="44"/>
      <c r="AC36" s="44"/>
      <c r="AD36" s="44"/>
      <c r="AE36" s="44"/>
      <c r="AF36" s="44"/>
    </row>
    <row r="37" spans="1:32" s="2" customFormat="1" ht="27" customHeight="1" x14ac:dyDescent="0.3">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v>698</v>
      </c>
      <c r="X37" s="136"/>
      <c r="Y37" s="136"/>
      <c r="Z37" s="59"/>
      <c r="AA37" s="101">
        <v>2208</v>
      </c>
      <c r="AB37" s="101">
        <f>SUM(F37:I37)</f>
        <v>243</v>
      </c>
      <c r="AC37" s="101">
        <f>SUM(J37:M37)</f>
        <v>52</v>
      </c>
      <c r="AD37" s="101">
        <f>N37+O37+P37+Q37</f>
        <v>1871</v>
      </c>
      <c r="AE37" s="101">
        <f>SUM(R37:U37)</f>
        <v>2787</v>
      </c>
      <c r="AF37" s="101">
        <f>SUM(V37:Y37)</f>
        <v>1313</v>
      </c>
    </row>
    <row r="38" spans="1:32" s="2" customFormat="1" ht="10.15" customHeight="1" x14ac:dyDescent="0.25">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AA38" s="4"/>
      <c r="AB38" s="4"/>
      <c r="AC38" s="4"/>
      <c r="AD38" s="4"/>
      <c r="AE38" s="4"/>
      <c r="AF38" s="4"/>
    </row>
    <row r="39" spans="1:32" s="2" customFormat="1" ht="13.75" customHeight="1" x14ac:dyDescent="0.25">
      <c r="A39" s="9" t="s">
        <v>308</v>
      </c>
      <c r="B39" s="84"/>
      <c r="C39" s="284"/>
      <c r="D39" s="23"/>
      <c r="E39" s="83"/>
      <c r="F39" s="84"/>
      <c r="G39" s="284"/>
      <c r="H39" s="23"/>
      <c r="I39" s="83"/>
      <c r="J39" s="84"/>
      <c r="K39" s="284"/>
      <c r="L39" s="23"/>
      <c r="M39" s="83"/>
      <c r="N39" s="84"/>
      <c r="O39" s="284"/>
      <c r="P39" s="23"/>
      <c r="Q39" s="83"/>
      <c r="R39" s="84"/>
      <c r="S39" s="284"/>
      <c r="T39" s="23"/>
      <c r="U39" s="83"/>
      <c r="V39" s="83"/>
      <c r="W39" s="83"/>
      <c r="X39" s="83"/>
      <c r="Y39" s="83"/>
      <c r="AA39" s="4"/>
      <c r="AB39" s="4"/>
      <c r="AC39" s="4"/>
      <c r="AD39" s="4"/>
      <c r="AE39" s="4"/>
      <c r="AF39" s="4"/>
    </row>
    <row r="40" spans="1:32" s="2" customFormat="1" ht="27" customHeight="1" x14ac:dyDescent="0.25">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AA40" s="4"/>
      <c r="AB40" s="4"/>
      <c r="AC40" s="4"/>
      <c r="AD40" s="4"/>
      <c r="AE40" s="4"/>
      <c r="AF40" s="4"/>
    </row>
    <row r="41" spans="1:32" s="2" customFormat="1" ht="13.75" customHeight="1" x14ac:dyDescent="0.25">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AA41" s="4"/>
      <c r="AB41" s="4"/>
      <c r="AC41" s="4"/>
      <c r="AD41" s="4"/>
      <c r="AE41" s="4"/>
      <c r="AF41" s="4"/>
    </row>
    <row r="42" spans="1:32" s="2" customFormat="1" ht="13.75" customHeight="1" x14ac:dyDescent="0.25">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7">
        <f>(T37*1000)/T51</f>
        <v>2.8148600198337022</v>
      </c>
      <c r="U42" s="143">
        <v>2.78</v>
      </c>
      <c r="V42" s="143">
        <v>2.37</v>
      </c>
      <c r="W42" s="143">
        <v>2.69</v>
      </c>
      <c r="X42" s="143"/>
      <c r="Y42" s="143"/>
      <c r="Z42" s="64"/>
      <c r="AA42" s="146">
        <v>6.7775591578391614</v>
      </c>
      <c r="AB42" s="146">
        <v>0.86</v>
      </c>
      <c r="AC42" s="146">
        <v>0.19</v>
      </c>
      <c r="AD42" s="146">
        <v>6.91</v>
      </c>
      <c r="AE42" s="146">
        <v>10.64</v>
      </c>
      <c r="AF42" s="146">
        <v>5.0599999999999996</v>
      </c>
    </row>
    <row r="43" spans="1:32" s="2" customFormat="1" ht="27" customHeight="1" x14ac:dyDescent="0.25">
      <c r="A43" s="10" t="s">
        <v>99</v>
      </c>
      <c r="B43" s="338">
        <v>0</v>
      </c>
      <c r="C43" s="344">
        <v>0</v>
      </c>
      <c r="D43" s="344">
        <v>0</v>
      </c>
      <c r="E43" s="217" t="s">
        <v>97</v>
      </c>
      <c r="F43" s="338" t="s">
        <v>97</v>
      </c>
      <c r="G43" s="344">
        <v>0</v>
      </c>
      <c r="H43" s="344">
        <v>0</v>
      </c>
      <c r="I43" s="217" t="s">
        <v>97</v>
      </c>
      <c r="J43" s="338">
        <v>0</v>
      </c>
      <c r="K43" s="344">
        <v>0</v>
      </c>
      <c r="L43" s="344">
        <v>0</v>
      </c>
      <c r="M43" s="547">
        <v>0</v>
      </c>
      <c r="N43" s="338">
        <v>0</v>
      </c>
      <c r="O43" s="344">
        <v>0</v>
      </c>
      <c r="P43" s="344">
        <v>0</v>
      </c>
      <c r="Q43" s="547">
        <v>0</v>
      </c>
      <c r="R43" s="338">
        <v>0</v>
      </c>
      <c r="S43" s="344">
        <v>0</v>
      </c>
      <c r="T43" s="588">
        <v>0</v>
      </c>
      <c r="U43" s="547">
        <v>0</v>
      </c>
      <c r="V43" s="547">
        <v>0</v>
      </c>
      <c r="W43" s="547">
        <v>0</v>
      </c>
      <c r="X43" s="547"/>
      <c r="Y43" s="547"/>
      <c r="Z43" s="102"/>
      <c r="AA43" s="349" t="s">
        <v>97</v>
      </c>
      <c r="AB43" s="349">
        <v>0</v>
      </c>
      <c r="AC43" s="349">
        <v>0</v>
      </c>
      <c r="AD43" s="349">
        <v>0</v>
      </c>
      <c r="AE43" s="349">
        <v>0</v>
      </c>
      <c r="AF43" s="349">
        <v>0</v>
      </c>
    </row>
    <row r="44" spans="1:32" s="2" customFormat="1" ht="13.75" customHeight="1" x14ac:dyDescent="0.25">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7">
        <v>2.81</v>
      </c>
      <c r="U44" s="143">
        <v>2.78</v>
      </c>
      <c r="V44" s="143">
        <v>2.37</v>
      </c>
      <c r="W44" s="143">
        <v>2.69</v>
      </c>
      <c r="X44" s="143"/>
      <c r="Y44" s="143"/>
      <c r="Z44" s="64"/>
      <c r="AA44" s="65">
        <v>6.7775591578391614</v>
      </c>
      <c r="AB44" s="65">
        <v>0.86</v>
      </c>
      <c r="AC44" s="65">
        <v>0.19</v>
      </c>
      <c r="AD44" s="65">
        <v>6.91</v>
      </c>
      <c r="AE44" s="65">
        <v>10.64</v>
      </c>
      <c r="AF44" s="65">
        <v>5.0599999999999996</v>
      </c>
    </row>
    <row r="45" spans="1:32" s="2" customFormat="1" ht="13.75" customHeight="1" x14ac:dyDescent="0.25">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64"/>
      <c r="AA45" s="65"/>
      <c r="AB45" s="65"/>
      <c r="AC45" s="65"/>
      <c r="AD45" s="65"/>
      <c r="AE45" s="65"/>
      <c r="AF45" s="65"/>
    </row>
    <row r="46" spans="1:32" s="2" customFormat="1" ht="13.75" customHeight="1" x14ac:dyDescent="0.25">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v>2.67</v>
      </c>
      <c r="X46" s="143"/>
      <c r="Y46" s="143"/>
      <c r="Z46" s="64"/>
      <c r="AA46" s="146">
        <v>6.7192930135177082</v>
      </c>
      <c r="AB46" s="146">
        <v>0.85</v>
      </c>
      <c r="AC46" s="146">
        <v>0.18</v>
      </c>
      <c r="AD46" s="146">
        <v>6.79</v>
      </c>
      <c r="AE46" s="146">
        <v>10.55</v>
      </c>
      <c r="AF46" s="146">
        <v>5.03</v>
      </c>
    </row>
    <row r="47" spans="1:32" s="2" customFormat="1" ht="27" customHeight="1" x14ac:dyDescent="0.25">
      <c r="A47" s="10" t="s">
        <v>98</v>
      </c>
      <c r="B47" s="338">
        <v>0</v>
      </c>
      <c r="C47" s="344">
        <v>0</v>
      </c>
      <c r="D47" s="344">
        <v>0</v>
      </c>
      <c r="E47" s="217" t="s">
        <v>97</v>
      </c>
      <c r="F47" s="338" t="s">
        <v>97</v>
      </c>
      <c r="G47" s="344">
        <v>0</v>
      </c>
      <c r="H47" s="344">
        <v>0</v>
      </c>
      <c r="I47" s="217" t="s">
        <v>97</v>
      </c>
      <c r="J47" s="338">
        <v>0</v>
      </c>
      <c r="K47" s="344">
        <v>0</v>
      </c>
      <c r="L47" s="344">
        <v>0</v>
      </c>
      <c r="M47" s="547">
        <v>0</v>
      </c>
      <c r="N47" s="338">
        <v>0</v>
      </c>
      <c r="O47" s="344">
        <v>0</v>
      </c>
      <c r="P47" s="344">
        <v>0</v>
      </c>
      <c r="Q47" s="547">
        <v>0</v>
      </c>
      <c r="R47" s="338">
        <v>0</v>
      </c>
      <c r="S47" s="344">
        <v>0</v>
      </c>
      <c r="T47" s="344">
        <v>0</v>
      </c>
      <c r="U47" s="547">
        <v>0</v>
      </c>
      <c r="V47" s="547">
        <v>0</v>
      </c>
      <c r="W47" s="547">
        <v>0</v>
      </c>
      <c r="X47" s="547"/>
      <c r="Y47" s="547"/>
      <c r="Z47" s="102"/>
      <c r="AA47" s="349" t="s">
        <v>97</v>
      </c>
      <c r="AB47" s="349">
        <v>0</v>
      </c>
      <c r="AC47" s="349">
        <v>0</v>
      </c>
      <c r="AD47" s="349">
        <v>0</v>
      </c>
      <c r="AE47" s="349">
        <v>0</v>
      </c>
      <c r="AF47" s="349">
        <v>0</v>
      </c>
    </row>
    <row r="48" spans="1:32" s="2" customFormat="1" ht="13.75" customHeight="1" x14ac:dyDescent="0.25">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v>2.67</v>
      </c>
      <c r="X48" s="143"/>
      <c r="Y48" s="143"/>
      <c r="Z48" s="64"/>
      <c r="AA48" s="65">
        <v>6.7192930135177082</v>
      </c>
      <c r="AB48" s="65">
        <v>0.85</v>
      </c>
      <c r="AC48" s="65">
        <v>0.18</v>
      </c>
      <c r="AD48" s="65">
        <v>6.79</v>
      </c>
      <c r="AE48" s="65">
        <v>10.55</v>
      </c>
      <c r="AF48" s="65">
        <v>5.03</v>
      </c>
    </row>
    <row r="49" spans="1:32" s="2" customFormat="1" ht="13.75" customHeight="1" x14ac:dyDescent="0.25">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AA49" s="4"/>
      <c r="AB49" s="4"/>
      <c r="AC49" s="4"/>
      <c r="AD49" s="4"/>
      <c r="AE49" s="4"/>
      <c r="AF49" s="4"/>
    </row>
    <row r="50" spans="1:32" s="2" customFormat="1" ht="40.75" customHeight="1" x14ac:dyDescent="0.25">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AA50" s="4"/>
      <c r="AB50" s="4"/>
      <c r="AC50" s="4"/>
      <c r="AD50" s="4"/>
      <c r="AE50" s="4"/>
      <c r="AF50" s="4"/>
    </row>
    <row r="51" spans="1:32" s="2" customFormat="1" ht="13.75" customHeight="1" x14ac:dyDescent="0.25">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v>259160</v>
      </c>
      <c r="X51" s="144"/>
      <c r="Y51" s="144"/>
      <c r="Z51" s="67"/>
      <c r="AA51" s="68">
        <v>325781</v>
      </c>
      <c r="AB51" s="68">
        <v>282056</v>
      </c>
      <c r="AC51" s="68">
        <v>279763</v>
      </c>
      <c r="AD51" s="68">
        <v>270687</v>
      </c>
      <c r="AE51" s="68">
        <v>261879</v>
      </c>
      <c r="AF51" s="68">
        <v>259369</v>
      </c>
    </row>
    <row r="52" spans="1:32" s="2" customFormat="1" ht="13.75" customHeight="1" x14ac:dyDescent="0.25">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v>261303</v>
      </c>
      <c r="X52" s="274"/>
      <c r="Y52" s="274"/>
      <c r="Z52" s="67"/>
      <c r="AA52" s="275">
        <v>328606</v>
      </c>
      <c r="AB52" s="275">
        <v>285911</v>
      </c>
      <c r="AC52" s="275">
        <v>283809</v>
      </c>
      <c r="AD52" s="275">
        <v>275646</v>
      </c>
      <c r="AE52" s="275">
        <v>264053</v>
      </c>
      <c r="AF52" s="275">
        <v>261278</v>
      </c>
    </row>
    <row r="53" spans="1:32" s="2" customFormat="1" ht="13.75" customHeight="1" x14ac:dyDescent="0.25">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67"/>
      <c r="AA53" s="275"/>
      <c r="AB53" s="275"/>
      <c r="AC53" s="275"/>
      <c r="AD53" s="275"/>
      <c r="AE53" s="275"/>
      <c r="AF53" s="275"/>
    </row>
    <row r="54" spans="1:32" s="2" customFormat="1" ht="13.75" customHeight="1" x14ac:dyDescent="0.25">
      <c r="A54" s="10" t="s">
        <v>193</v>
      </c>
      <c r="B54" s="305"/>
      <c r="C54" s="294"/>
      <c r="D54" s="474">
        <v>0.25</v>
      </c>
      <c r="E54" s="482">
        <v>0.25</v>
      </c>
      <c r="F54" s="474">
        <v>0.25</v>
      </c>
      <c r="G54" s="474">
        <v>0.25</v>
      </c>
      <c r="H54" s="527">
        <v>0.375</v>
      </c>
      <c r="I54" s="530">
        <v>0.375</v>
      </c>
      <c r="J54" s="527">
        <v>0.375</v>
      </c>
      <c r="K54" s="527">
        <v>0.375</v>
      </c>
      <c r="L54" s="527">
        <v>0.375</v>
      </c>
      <c r="M54" s="530">
        <v>0.375</v>
      </c>
      <c r="N54" s="558">
        <v>0.5625</v>
      </c>
      <c r="O54" s="558">
        <v>0.5625</v>
      </c>
      <c r="P54" s="558">
        <v>0.5625</v>
      </c>
      <c r="Q54" s="564">
        <v>0.5625</v>
      </c>
      <c r="R54" s="558">
        <v>0.84499999999999997</v>
      </c>
      <c r="S54" s="558">
        <v>0.84499999999999997</v>
      </c>
      <c r="T54" s="558">
        <v>0.84499999999999997</v>
      </c>
      <c r="U54" s="564">
        <v>0.84499999999999997</v>
      </c>
      <c r="V54" s="564">
        <v>1.014</v>
      </c>
      <c r="W54" s="564">
        <v>1.014</v>
      </c>
      <c r="X54" s="564"/>
      <c r="Y54" s="564"/>
      <c r="Z54" s="67"/>
      <c r="AA54" s="483">
        <v>0.5</v>
      </c>
      <c r="AB54" s="483">
        <f>SUM(F54:I54)</f>
        <v>1.25</v>
      </c>
      <c r="AC54" s="483">
        <v>1.5</v>
      </c>
      <c r="AD54" s="483">
        <v>2.25</v>
      </c>
      <c r="AE54" s="586">
        <f>SUM(R54:U54)</f>
        <v>3.38</v>
      </c>
      <c r="AF54" s="586">
        <f>SUM(V54:Y54)</f>
        <v>2.028</v>
      </c>
    </row>
    <row r="55" spans="1:32" s="2" customFormat="1" ht="13.75" customHeight="1" thickBot="1" x14ac:dyDescent="0.3">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AA55" s="8"/>
      <c r="AB55" s="8"/>
      <c r="AC55" s="8"/>
      <c r="AD55" s="8"/>
      <c r="AE55" s="8"/>
      <c r="AF55" s="8"/>
    </row>
    <row r="56" spans="1:32" s="2" customFormat="1" x14ac:dyDescent="0.25"/>
    <row r="57" spans="1:32" s="2" customFormat="1" x14ac:dyDescent="0.25">
      <c r="A57" s="389"/>
      <c r="AA57" s="464"/>
      <c r="AB57" s="464"/>
      <c r="AC57" s="464"/>
      <c r="AD57" s="565"/>
      <c r="AE57" s="565"/>
      <c r="AF57" s="565"/>
    </row>
    <row r="58" spans="1:32" s="2" customFormat="1" x14ac:dyDescent="0.25">
      <c r="AA58" s="464"/>
      <c r="AB58" s="464"/>
      <c r="AC58" s="464"/>
    </row>
    <row r="59" spans="1:32" s="2" customFormat="1" x14ac:dyDescent="0.25">
      <c r="A59" s="347"/>
    </row>
    <row r="60" spans="1:32" s="2" customFormat="1" x14ac:dyDescent="0.25">
      <c r="A60" s="347"/>
    </row>
    <row r="61" spans="1:32" s="2" customFormat="1" x14ac:dyDescent="0.25">
      <c r="A61" s="347"/>
    </row>
    <row r="62" spans="1:32" x14ac:dyDescent="0.25">
      <c r="A62" s="372"/>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B7:AC7 AB5:AC5 AB6:AC6 AB9:AC9 AB8:AC8 AB14:AC14 AB10:AC13 AB16:AC16 AB15:AC15 AB18:AC19 AB17:AC17 AB21:AC21 AB23:AC23 AB22:AC22 AB25:AC25 AB24:AC24 AB28:AC28 AB26:AC26 AB27:AC27 AB30:AC30 AB29:AC29 AB32:AC32 AB31:AC31 AB34:AC34 AB33:AC33 AB36:AC36 AB35:AC35 AB38:AC40 AB37:AC37 AB41:AC41 AB55:AC55 AB54 AC20 AB53:AC53 AB51 AB52 AB45 AB42 AB43 AB44 AB49:AC50 AB46 AB47 AB48 AE5 AE10:AE20 AE6:AE8 AE54 AE22:AE37 AE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53"/>
  <sheetViews>
    <sheetView zoomScaleNormal="100" workbookViewId="0">
      <pane xSplit="1" ySplit="6" topLeftCell="K37" activePane="bottomRight" state="frozen"/>
      <selection activeCell="D43" sqref="D43"/>
      <selection pane="topRight" activeCell="D43" sqref="D43"/>
      <selection pane="bottomLeft" activeCell="D43" sqref="D43"/>
      <selection pane="bottomRight" activeCell="W46" sqref="W46"/>
    </sheetView>
  </sheetViews>
  <sheetFormatPr defaultRowHeight="12.5" outlineLevelCol="1" x14ac:dyDescent="0.25"/>
  <cols>
    <col min="1" max="1" width="37.1796875" customWidth="1"/>
    <col min="2" max="13" width="9.54296875" style="133" customWidth="1" outlineLevel="1"/>
    <col min="14" max="21" width="9.54296875" style="133" hidden="1" customWidth="1" outlineLevel="1"/>
    <col min="22" max="23" width="9.54296875" style="133" customWidth="1" outlineLevel="1"/>
    <col min="24" max="25" width="9.54296875" style="133" hidden="1" customWidth="1" outlineLevel="1"/>
  </cols>
  <sheetData>
    <row r="1" spans="1:25" ht="14" x14ac:dyDescent="0.3">
      <c r="A1" s="1" t="s">
        <v>0</v>
      </c>
    </row>
    <row r="2" spans="1:25" ht="14.5" thickBot="1" x14ac:dyDescent="0.35">
      <c r="A2" s="1" t="s">
        <v>103</v>
      </c>
    </row>
    <row r="3" spans="1:25" s="3" customFormat="1" ht="14.25" customHeight="1" thickBot="1" x14ac:dyDescent="0.3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row>
    <row r="4" spans="1:25" s="2" customFormat="1" ht="10.15" customHeight="1" x14ac:dyDescent="0.25">
      <c r="A4" s="5"/>
      <c r="B4" s="284"/>
      <c r="C4" s="284"/>
      <c r="D4" s="265"/>
      <c r="E4" s="25"/>
      <c r="F4" s="284"/>
      <c r="G4" s="284"/>
      <c r="H4" s="265"/>
      <c r="I4" s="25"/>
      <c r="J4" s="284"/>
      <c r="K4" s="284"/>
      <c r="L4" s="265"/>
      <c r="M4" s="25"/>
      <c r="N4" s="284"/>
      <c r="O4" s="284"/>
      <c r="P4" s="265"/>
      <c r="Q4" s="25"/>
      <c r="R4" s="284"/>
      <c r="S4" s="284"/>
      <c r="T4" s="265"/>
      <c r="U4" s="25"/>
      <c r="V4" s="284"/>
      <c r="W4" s="284"/>
      <c r="X4" s="265"/>
      <c r="Y4" s="25"/>
    </row>
    <row r="5" spans="1:25" s="2" customFormat="1" ht="13.75" customHeight="1" x14ac:dyDescent="0.25">
      <c r="A5" s="9" t="s">
        <v>34</v>
      </c>
      <c r="B5" s="284"/>
      <c r="C5" s="284"/>
      <c r="D5" s="265"/>
      <c r="E5" s="25"/>
      <c r="F5" s="284"/>
      <c r="G5" s="284"/>
      <c r="H5" s="265"/>
      <c r="I5" s="25"/>
      <c r="J5" s="284"/>
      <c r="K5" s="284"/>
      <c r="L5" s="265"/>
      <c r="M5" s="25"/>
      <c r="N5" s="284"/>
      <c r="O5" s="284"/>
      <c r="P5" s="265"/>
      <c r="Q5" s="25"/>
      <c r="R5" s="284"/>
      <c r="S5" s="284"/>
      <c r="T5" s="265"/>
      <c r="U5" s="25"/>
      <c r="V5" s="284"/>
      <c r="W5" s="284"/>
      <c r="X5" s="265"/>
      <c r="Y5" s="25"/>
    </row>
    <row r="6" spans="1:25" s="2" customFormat="1" ht="13.75" customHeight="1" x14ac:dyDescent="0.25">
      <c r="A6" s="9" t="s">
        <v>35</v>
      </c>
      <c r="B6" s="284"/>
      <c r="C6" s="284"/>
      <c r="D6" s="265"/>
      <c r="E6" s="25"/>
      <c r="F6" s="284"/>
      <c r="G6" s="284"/>
      <c r="H6" s="265"/>
      <c r="I6" s="25"/>
      <c r="J6" s="284"/>
      <c r="K6" s="284"/>
      <c r="L6" s="265"/>
      <c r="M6" s="25"/>
      <c r="N6" s="284"/>
      <c r="O6" s="284"/>
      <c r="P6" s="265"/>
      <c r="Q6" s="25"/>
      <c r="R6" s="284"/>
      <c r="S6" s="284"/>
      <c r="T6" s="265"/>
      <c r="U6" s="25"/>
      <c r="V6" s="284"/>
      <c r="W6" s="284"/>
      <c r="X6" s="265"/>
      <c r="Y6" s="25"/>
    </row>
    <row r="7" spans="1:25" s="2" customFormat="1" ht="13.75" customHeight="1" x14ac:dyDescent="0.25">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v>3863</v>
      </c>
      <c r="X7" s="266"/>
      <c r="Y7" s="61"/>
    </row>
    <row r="8" spans="1:25" s="62" customFormat="1" ht="13.75" customHeight="1" x14ac:dyDescent="0.25">
      <c r="A8" s="347" t="s">
        <v>140</v>
      </c>
      <c r="B8" s="296">
        <v>791</v>
      </c>
      <c r="C8" s="296">
        <v>790</v>
      </c>
      <c r="D8" s="267">
        <v>845</v>
      </c>
      <c r="E8" s="195">
        <v>792</v>
      </c>
      <c r="F8" s="296">
        <v>800</v>
      </c>
      <c r="G8" s="296">
        <v>780</v>
      </c>
      <c r="H8" s="267">
        <v>786</v>
      </c>
      <c r="I8" s="195">
        <v>667</v>
      </c>
      <c r="J8" s="296">
        <v>616</v>
      </c>
      <c r="K8" s="296">
        <v>481</v>
      </c>
      <c r="L8" s="267">
        <v>755</v>
      </c>
      <c r="M8" s="195">
        <v>765</v>
      </c>
      <c r="N8" s="296">
        <v>833</v>
      </c>
      <c r="O8" s="296">
        <v>991</v>
      </c>
      <c r="P8" s="267">
        <v>979</v>
      </c>
      <c r="Q8" s="195">
        <v>923</v>
      </c>
      <c r="R8" s="296">
        <v>925</v>
      </c>
      <c r="S8" s="296">
        <v>996</v>
      </c>
      <c r="T8" s="267">
        <v>1012</v>
      </c>
      <c r="U8" s="195">
        <v>960</v>
      </c>
      <c r="V8" s="296">
        <v>1063</v>
      </c>
      <c r="W8" s="296">
        <v>1061</v>
      </c>
      <c r="X8" s="267"/>
      <c r="Y8" s="195"/>
    </row>
    <row r="9" spans="1:25" s="2" customFormat="1" ht="13.75" customHeight="1" x14ac:dyDescent="0.25">
      <c r="A9" s="10" t="s">
        <v>37</v>
      </c>
      <c r="B9" s="297" t="s">
        <v>97</v>
      </c>
      <c r="C9" s="296" t="s">
        <v>97</v>
      </c>
      <c r="D9" s="406">
        <v>0</v>
      </c>
      <c r="E9" s="61" t="s">
        <v>97</v>
      </c>
      <c r="F9" s="297" t="s">
        <v>97</v>
      </c>
      <c r="G9" s="296">
        <v>81</v>
      </c>
      <c r="H9" s="406">
        <v>61</v>
      </c>
      <c r="I9" s="61">
        <v>50</v>
      </c>
      <c r="J9" s="406">
        <v>0</v>
      </c>
      <c r="K9" s="406">
        <v>0</v>
      </c>
      <c r="L9" s="406">
        <v>0</v>
      </c>
      <c r="M9" s="548">
        <v>0</v>
      </c>
      <c r="N9" s="406">
        <v>0</v>
      </c>
      <c r="O9" s="406">
        <v>0</v>
      </c>
      <c r="P9" s="406">
        <v>0</v>
      </c>
      <c r="Q9" s="548">
        <v>0</v>
      </c>
      <c r="R9" s="406">
        <v>0</v>
      </c>
      <c r="S9" s="406">
        <v>0</v>
      </c>
      <c r="T9" s="406">
        <v>0</v>
      </c>
      <c r="U9" s="548">
        <v>0</v>
      </c>
      <c r="V9" s="406">
        <v>0</v>
      </c>
      <c r="W9" s="406">
        <v>0</v>
      </c>
      <c r="X9" s="406"/>
      <c r="Y9" s="548"/>
    </row>
    <row r="10" spans="1:25" s="2" customFormat="1" ht="13.75" customHeight="1" x14ac:dyDescent="0.25">
      <c r="A10" s="10" t="s">
        <v>38</v>
      </c>
      <c r="B10" s="132">
        <v>1251</v>
      </c>
      <c r="C10" s="296">
        <v>1326</v>
      </c>
      <c r="D10" s="266">
        <v>1284</v>
      </c>
      <c r="E10" s="61">
        <v>1279</v>
      </c>
      <c r="F10" s="132">
        <v>1241</v>
      </c>
      <c r="G10" s="296">
        <v>1144</v>
      </c>
      <c r="H10" s="266">
        <v>1134</v>
      </c>
      <c r="I10" s="61">
        <v>1192</v>
      </c>
      <c r="J10" s="132">
        <v>1227</v>
      </c>
      <c r="K10" s="296">
        <v>1228</v>
      </c>
      <c r="L10" s="266">
        <v>1064</v>
      </c>
      <c r="M10" s="61">
        <v>1030</v>
      </c>
      <c r="N10" s="132">
        <v>1056</v>
      </c>
      <c r="O10" s="296">
        <v>1116</v>
      </c>
      <c r="P10" s="266">
        <v>1173</v>
      </c>
      <c r="Q10" s="61">
        <v>1189</v>
      </c>
      <c r="R10" s="132">
        <v>1311</v>
      </c>
      <c r="S10" s="296">
        <v>1462</v>
      </c>
      <c r="T10" s="266">
        <v>1581</v>
      </c>
      <c r="U10" s="61">
        <v>1782</v>
      </c>
      <c r="V10" s="132">
        <v>1977</v>
      </c>
      <c r="W10" s="296">
        <v>2107</v>
      </c>
      <c r="X10" s="266"/>
      <c r="Y10" s="61"/>
    </row>
    <row r="11" spans="1:25" s="2" customFormat="1" ht="13.75" customHeight="1" x14ac:dyDescent="0.25">
      <c r="A11" s="10" t="s">
        <v>39</v>
      </c>
      <c r="B11" s="132">
        <v>536</v>
      </c>
      <c r="C11" s="296">
        <v>414</v>
      </c>
      <c r="D11" s="266">
        <v>330</v>
      </c>
      <c r="E11" s="61">
        <v>365</v>
      </c>
      <c r="F11" s="132">
        <v>387</v>
      </c>
      <c r="G11" s="296">
        <v>396</v>
      </c>
      <c r="H11" s="266">
        <v>426</v>
      </c>
      <c r="I11" s="61">
        <v>313</v>
      </c>
      <c r="J11" s="132">
        <v>327</v>
      </c>
      <c r="K11" s="296">
        <v>240</v>
      </c>
      <c r="L11" s="266">
        <v>219</v>
      </c>
      <c r="M11" s="61">
        <v>254</v>
      </c>
      <c r="N11" s="132">
        <v>293</v>
      </c>
      <c r="O11" s="296">
        <v>274</v>
      </c>
      <c r="P11" s="266">
        <v>266</v>
      </c>
      <c r="Q11" s="61">
        <v>286</v>
      </c>
      <c r="R11" s="132">
        <v>356</v>
      </c>
      <c r="S11" s="296">
        <v>317</v>
      </c>
      <c r="T11" s="266">
        <v>351</v>
      </c>
      <c r="U11" s="61">
        <v>348</v>
      </c>
      <c r="V11" s="132">
        <v>387</v>
      </c>
      <c r="W11" s="296">
        <f>407+9</f>
        <v>416</v>
      </c>
      <c r="X11" s="266"/>
      <c r="Y11" s="61"/>
    </row>
    <row r="12" spans="1:25" s="2" customFormat="1" ht="13.75" customHeight="1" x14ac:dyDescent="0.25">
      <c r="A12" s="9" t="s">
        <v>40</v>
      </c>
      <c r="B12" s="285">
        <v>6561</v>
      </c>
      <c r="C12" s="452">
        <v>5511</v>
      </c>
      <c r="D12" s="268">
        <v>4403</v>
      </c>
      <c r="E12" s="71">
        <v>5225</v>
      </c>
      <c r="F12" s="285">
        <v>4620</v>
      </c>
      <c r="G12" s="452">
        <v>5431</v>
      </c>
      <c r="H12" s="268">
        <v>5944</v>
      </c>
      <c r="I12" s="71">
        <v>3267</v>
      </c>
      <c r="J12" s="285">
        <v>3249</v>
      </c>
      <c r="K12" s="452">
        <v>5215</v>
      </c>
      <c r="L12" s="268">
        <v>5604</v>
      </c>
      <c r="M12" s="71">
        <v>4324</v>
      </c>
      <c r="N12" s="285">
        <v>4024</v>
      </c>
      <c r="O12" s="452">
        <v>5291</v>
      </c>
      <c r="P12" s="268">
        <v>4721</v>
      </c>
      <c r="Q12" s="71">
        <v>5228</v>
      </c>
      <c r="R12" s="285">
        <v>5275</v>
      </c>
      <c r="S12" s="452">
        <v>6320</v>
      </c>
      <c r="T12" s="268">
        <v>6703</v>
      </c>
      <c r="U12" s="71">
        <v>6935</v>
      </c>
      <c r="V12" s="285">
        <v>7357</v>
      </c>
      <c r="W12" s="452">
        <v>7447</v>
      </c>
      <c r="X12" s="268"/>
      <c r="Y12" s="71"/>
    </row>
    <row r="13" spans="1:25" s="2" customFormat="1" ht="10.15" customHeight="1" x14ac:dyDescent="0.25">
      <c r="A13" s="9"/>
      <c r="B13" s="132"/>
      <c r="C13" s="296"/>
      <c r="D13" s="266"/>
      <c r="E13" s="61"/>
      <c r="F13" s="132"/>
      <c r="G13" s="296"/>
      <c r="H13" s="266"/>
      <c r="I13" s="61"/>
      <c r="J13" s="132"/>
      <c r="K13" s="296"/>
      <c r="L13" s="266"/>
      <c r="M13" s="61"/>
      <c r="N13" s="132"/>
      <c r="O13" s="296"/>
      <c r="P13" s="266"/>
      <c r="Q13" s="61"/>
      <c r="R13" s="132"/>
      <c r="S13" s="296"/>
      <c r="T13" s="266"/>
      <c r="U13" s="61"/>
      <c r="V13" s="132"/>
      <c r="W13" s="296"/>
      <c r="X13" s="266"/>
      <c r="Y13" s="61"/>
    </row>
    <row r="14" spans="1:25" s="2" customFormat="1" ht="13.75" customHeight="1" x14ac:dyDescent="0.25">
      <c r="A14" s="9" t="s">
        <v>41</v>
      </c>
      <c r="B14" s="132"/>
      <c r="C14" s="296"/>
      <c r="D14" s="266"/>
      <c r="E14" s="61"/>
      <c r="F14" s="132"/>
      <c r="G14" s="296"/>
      <c r="H14" s="266"/>
      <c r="I14" s="61"/>
      <c r="J14" s="132"/>
      <c r="K14" s="296"/>
      <c r="L14" s="266"/>
      <c r="M14" s="61"/>
      <c r="N14" s="132"/>
      <c r="O14" s="296"/>
      <c r="P14" s="266"/>
      <c r="Q14" s="61"/>
      <c r="R14" s="132"/>
      <c r="S14" s="296"/>
      <c r="T14" s="266"/>
      <c r="U14" s="61"/>
      <c r="V14" s="132"/>
      <c r="W14" s="296"/>
      <c r="X14" s="266"/>
      <c r="Y14" s="61"/>
    </row>
    <row r="15" spans="1:25" s="2" customFormat="1" ht="13.75" customHeight="1" x14ac:dyDescent="0.25">
      <c r="A15" s="347" t="s">
        <v>331</v>
      </c>
      <c r="B15" s="132"/>
      <c r="C15" s="296"/>
      <c r="D15" s="266"/>
      <c r="E15" s="195"/>
      <c r="F15" s="132"/>
      <c r="G15" s="296"/>
      <c r="H15" s="266"/>
      <c r="I15" s="195"/>
      <c r="J15" s="132"/>
      <c r="K15" s="296"/>
      <c r="L15" s="266"/>
      <c r="M15" s="195"/>
      <c r="N15" s="132"/>
      <c r="O15" s="296"/>
      <c r="P15" s="266"/>
      <c r="Q15" s="195"/>
      <c r="R15" s="132"/>
      <c r="S15" s="296"/>
      <c r="T15" s="266"/>
      <c r="U15" s="195"/>
      <c r="V15" s="132"/>
      <c r="W15" s="296"/>
      <c r="X15" s="266"/>
      <c r="Y15" s="195"/>
    </row>
    <row r="16" spans="1:25" s="2" customFormat="1" ht="13.75" customHeight="1" x14ac:dyDescent="0.25">
      <c r="A16" s="347" t="s">
        <v>42</v>
      </c>
      <c r="B16" s="297" t="s">
        <v>97</v>
      </c>
      <c r="C16" s="406">
        <v>0</v>
      </c>
      <c r="D16" s="406">
        <v>0</v>
      </c>
      <c r="E16" s="381" t="s">
        <v>97</v>
      </c>
      <c r="F16" s="406">
        <v>0</v>
      </c>
      <c r="G16" s="406">
        <v>0</v>
      </c>
      <c r="H16" s="406">
        <v>0</v>
      </c>
      <c r="I16" s="381" t="s">
        <v>97</v>
      </c>
      <c r="J16" s="406">
        <v>0</v>
      </c>
      <c r="K16" s="406">
        <v>0</v>
      </c>
      <c r="L16" s="406">
        <v>0</v>
      </c>
      <c r="M16" s="548">
        <v>0</v>
      </c>
      <c r="N16" s="406">
        <v>0</v>
      </c>
      <c r="O16" s="406">
        <v>0</v>
      </c>
      <c r="P16" s="406">
        <v>0</v>
      </c>
      <c r="Q16" s="548">
        <v>0</v>
      </c>
      <c r="R16" s="406">
        <v>0</v>
      </c>
      <c r="S16" s="406">
        <v>0</v>
      </c>
      <c r="T16" s="406">
        <v>0</v>
      </c>
      <c r="U16" s="548">
        <v>0</v>
      </c>
      <c r="V16" s="406">
        <v>0</v>
      </c>
      <c r="W16" s="406">
        <v>0</v>
      </c>
      <c r="X16" s="406"/>
      <c r="Y16" s="548"/>
    </row>
    <row r="17" spans="1:29" s="2" customFormat="1" ht="13.75" customHeight="1" x14ac:dyDescent="0.25">
      <c r="A17" s="347" t="s">
        <v>43</v>
      </c>
      <c r="B17" s="132">
        <v>888</v>
      </c>
      <c r="C17" s="296">
        <v>793</v>
      </c>
      <c r="D17" s="266">
        <v>632</v>
      </c>
      <c r="E17" s="195">
        <v>545</v>
      </c>
      <c r="F17" s="132">
        <v>699</v>
      </c>
      <c r="G17" s="296">
        <v>706</v>
      </c>
      <c r="H17" s="266">
        <v>712</v>
      </c>
      <c r="I17" s="195">
        <v>732</v>
      </c>
      <c r="J17" s="132">
        <v>712</v>
      </c>
      <c r="K17" s="296">
        <v>760</v>
      </c>
      <c r="L17" s="266">
        <v>924</v>
      </c>
      <c r="M17" s="195">
        <v>1013</v>
      </c>
      <c r="N17" s="132">
        <v>1039</v>
      </c>
      <c r="O17" s="296">
        <v>1094</v>
      </c>
      <c r="P17" s="266">
        <v>1070</v>
      </c>
      <c r="Q17" s="195">
        <v>1346</v>
      </c>
      <c r="R17" s="132">
        <v>1701</v>
      </c>
      <c r="S17" s="296">
        <v>1848</v>
      </c>
      <c r="T17" s="266">
        <v>1940</v>
      </c>
      <c r="U17" s="195">
        <v>1942</v>
      </c>
      <c r="V17" s="132">
        <v>2095</v>
      </c>
      <c r="W17" s="296">
        <v>2136</v>
      </c>
      <c r="X17" s="266"/>
      <c r="Y17" s="195"/>
    </row>
    <row r="18" spans="1:29" s="2" customFormat="1" ht="13.75" customHeight="1" x14ac:dyDescent="0.25">
      <c r="A18" s="347" t="s">
        <v>44</v>
      </c>
      <c r="B18" s="132">
        <v>2307</v>
      </c>
      <c r="C18" s="296">
        <v>2352</v>
      </c>
      <c r="D18" s="266">
        <v>2394</v>
      </c>
      <c r="E18" s="195">
        <v>2436</v>
      </c>
      <c r="F18" s="132">
        <v>2407</v>
      </c>
      <c r="G18" s="296">
        <v>2397</v>
      </c>
      <c r="H18" s="266">
        <v>2401</v>
      </c>
      <c r="I18" s="195">
        <v>2448</v>
      </c>
      <c r="J18" s="132">
        <v>2397</v>
      </c>
      <c r="K18" s="296">
        <v>2312</v>
      </c>
      <c r="L18" s="266">
        <v>2255</v>
      </c>
      <c r="M18" s="195">
        <v>2284</v>
      </c>
      <c r="N18" s="132">
        <v>2304</v>
      </c>
      <c r="O18" s="296">
        <v>2375</v>
      </c>
      <c r="P18" s="266">
        <v>2510</v>
      </c>
      <c r="Q18" s="195">
        <v>2635</v>
      </c>
      <c r="R18" s="132">
        <v>2814</v>
      </c>
      <c r="S18" s="296">
        <v>2914</v>
      </c>
      <c r="T18" s="266">
        <v>2971</v>
      </c>
      <c r="U18" s="195">
        <v>3105</v>
      </c>
      <c r="V18" s="132">
        <v>3123</v>
      </c>
      <c r="W18" s="296">
        <v>3152</v>
      </c>
      <c r="X18" s="266"/>
      <c r="Y18" s="195"/>
    </row>
    <row r="19" spans="1:29" s="2" customFormat="1" ht="13.75" customHeight="1" x14ac:dyDescent="0.25">
      <c r="A19" s="347" t="s">
        <v>118</v>
      </c>
      <c r="B19" s="132">
        <v>5494</v>
      </c>
      <c r="C19" s="296">
        <v>5127</v>
      </c>
      <c r="D19" s="266">
        <v>4762</v>
      </c>
      <c r="E19" s="195">
        <v>4467</v>
      </c>
      <c r="F19" s="132">
        <v>4094</v>
      </c>
      <c r="G19" s="296">
        <v>3737</v>
      </c>
      <c r="H19" s="266">
        <v>3406</v>
      </c>
      <c r="I19" s="195">
        <v>3620</v>
      </c>
      <c r="J19" s="132">
        <v>3218</v>
      </c>
      <c r="K19" s="296">
        <v>2824</v>
      </c>
      <c r="L19" s="266">
        <v>2380</v>
      </c>
      <c r="M19" s="195">
        <v>2242</v>
      </c>
      <c r="N19" s="132">
        <v>2057</v>
      </c>
      <c r="O19" s="296">
        <v>1891</v>
      </c>
      <c r="P19" s="266">
        <v>1741</v>
      </c>
      <c r="Q19" s="195">
        <v>1694</v>
      </c>
      <c r="R19" s="132">
        <v>1577</v>
      </c>
      <c r="S19" s="296">
        <v>1527</v>
      </c>
      <c r="T19" s="266">
        <v>1417</v>
      </c>
      <c r="U19" s="195">
        <v>1311</v>
      </c>
      <c r="V19" s="132">
        <v>1208</v>
      </c>
      <c r="W19" s="296">
        <v>1110</v>
      </c>
      <c r="X19" s="266"/>
      <c r="Y19" s="195"/>
    </row>
    <row r="20" spans="1:29" s="2" customFormat="1" ht="13.75" customHeight="1" x14ac:dyDescent="0.25">
      <c r="A20" s="347" t="s">
        <v>45</v>
      </c>
      <c r="B20" s="132">
        <v>8877</v>
      </c>
      <c r="C20" s="296">
        <v>8861</v>
      </c>
      <c r="D20" s="266">
        <v>8865</v>
      </c>
      <c r="E20" s="195">
        <v>8857</v>
      </c>
      <c r="F20" s="132">
        <v>8852</v>
      </c>
      <c r="G20" s="296">
        <v>8788</v>
      </c>
      <c r="H20" s="266">
        <v>8791</v>
      </c>
      <c r="I20" s="195">
        <v>9949</v>
      </c>
      <c r="J20" s="132">
        <v>9935</v>
      </c>
      <c r="K20" s="296">
        <v>9946</v>
      </c>
      <c r="L20" s="266">
        <v>9959</v>
      </c>
      <c r="M20" s="195">
        <v>9984</v>
      </c>
      <c r="N20" s="132">
        <v>9968</v>
      </c>
      <c r="O20" s="296">
        <v>9971</v>
      </c>
      <c r="P20" s="266">
        <v>9968</v>
      </c>
      <c r="Q20" s="195">
        <v>9961</v>
      </c>
      <c r="R20" s="132">
        <v>9954</v>
      </c>
      <c r="S20" s="296">
        <v>9930</v>
      </c>
      <c r="T20" s="266">
        <v>9909</v>
      </c>
      <c r="U20" s="195">
        <v>9943</v>
      </c>
      <c r="V20" s="132">
        <v>9949</v>
      </c>
      <c r="W20" s="296">
        <v>9950</v>
      </c>
      <c r="X20" s="266"/>
      <c r="Y20" s="195"/>
    </row>
    <row r="21" spans="1:29" s="2" customFormat="1" ht="13.75" customHeight="1" x14ac:dyDescent="0.25">
      <c r="A21" s="371" t="s">
        <v>46</v>
      </c>
      <c r="B21" s="285">
        <v>17566</v>
      </c>
      <c r="C21" s="452">
        <v>17133</v>
      </c>
      <c r="D21" s="268">
        <v>16653</v>
      </c>
      <c r="E21" s="382">
        <v>16305</v>
      </c>
      <c r="F21" s="285">
        <v>16052</v>
      </c>
      <c r="G21" s="452">
        <v>15628</v>
      </c>
      <c r="H21" s="268">
        <v>15310</v>
      </c>
      <c r="I21" s="382">
        <v>16749</v>
      </c>
      <c r="J21" s="285">
        <v>16262</v>
      </c>
      <c r="K21" s="452">
        <v>15842</v>
      </c>
      <c r="L21" s="268">
        <v>15518</v>
      </c>
      <c r="M21" s="382">
        <v>15523</v>
      </c>
      <c r="N21" s="285">
        <v>15368</v>
      </c>
      <c r="O21" s="452">
        <v>15331</v>
      </c>
      <c r="P21" s="268">
        <v>15289</v>
      </c>
      <c r="Q21" s="382">
        <v>15636</v>
      </c>
      <c r="R21" s="285">
        <v>16046</v>
      </c>
      <c r="S21" s="452">
        <v>16219</v>
      </c>
      <c r="T21" s="268">
        <v>16237</v>
      </c>
      <c r="U21" s="382">
        <v>16301</v>
      </c>
      <c r="V21" s="285">
        <v>16375</v>
      </c>
      <c r="W21" s="452">
        <v>16348</v>
      </c>
      <c r="X21" s="268"/>
      <c r="Y21" s="382"/>
    </row>
    <row r="22" spans="1:29" s="2" customFormat="1" ht="10.15" customHeight="1" x14ac:dyDescent="0.25">
      <c r="A22" s="347"/>
      <c r="B22" s="132"/>
      <c r="C22" s="296"/>
      <c r="D22" s="266"/>
      <c r="E22" s="195"/>
      <c r="F22" s="132"/>
      <c r="G22" s="296"/>
      <c r="H22" s="266"/>
      <c r="I22" s="195"/>
      <c r="J22" s="132"/>
      <c r="K22" s="296"/>
      <c r="L22" s="266"/>
      <c r="M22" s="195"/>
      <c r="N22" s="132"/>
      <c r="O22" s="296"/>
      <c r="P22" s="266"/>
      <c r="Q22" s="195"/>
      <c r="R22" s="132"/>
      <c r="S22" s="296"/>
      <c r="T22" s="266"/>
      <c r="U22" s="195"/>
      <c r="V22" s="132"/>
      <c r="W22" s="296"/>
      <c r="X22" s="266"/>
      <c r="Y22" s="195"/>
    </row>
    <row r="23" spans="1:29" s="2" customFormat="1" ht="13.75" customHeight="1" x14ac:dyDescent="0.25">
      <c r="A23" s="371" t="s">
        <v>47</v>
      </c>
      <c r="B23" s="285">
        <v>24127</v>
      </c>
      <c r="C23" s="452">
        <v>22644</v>
      </c>
      <c r="D23" s="268">
        <v>21056</v>
      </c>
      <c r="E23" s="382">
        <v>21530</v>
      </c>
      <c r="F23" s="285">
        <v>20672</v>
      </c>
      <c r="G23" s="452">
        <v>21059</v>
      </c>
      <c r="H23" s="268">
        <v>21254</v>
      </c>
      <c r="I23" s="382">
        <v>20016</v>
      </c>
      <c r="J23" s="285">
        <v>19511</v>
      </c>
      <c r="K23" s="452">
        <v>21057</v>
      </c>
      <c r="L23" s="268">
        <v>21122</v>
      </c>
      <c r="M23" s="382">
        <v>19847</v>
      </c>
      <c r="N23" s="285">
        <v>19392</v>
      </c>
      <c r="O23" s="452">
        <v>20622</v>
      </c>
      <c r="P23" s="268">
        <v>20010</v>
      </c>
      <c r="Q23" s="382">
        <v>20864</v>
      </c>
      <c r="R23" s="285">
        <v>21321</v>
      </c>
      <c r="S23" s="452">
        <v>22539</v>
      </c>
      <c r="T23" s="268">
        <v>22940</v>
      </c>
      <c r="U23" s="382">
        <v>23236</v>
      </c>
      <c r="V23" s="285">
        <v>23732</v>
      </c>
      <c r="W23" s="452">
        <v>23795</v>
      </c>
      <c r="X23" s="268"/>
      <c r="Y23" s="382"/>
    </row>
    <row r="24" spans="1:29" s="2" customFormat="1" ht="10.15" customHeight="1" x14ac:dyDescent="0.25">
      <c r="A24" s="371"/>
      <c r="B24" s="132"/>
      <c r="C24" s="296"/>
      <c r="D24" s="266"/>
      <c r="E24" s="195"/>
      <c r="F24" s="132"/>
      <c r="G24" s="296"/>
      <c r="H24" s="266"/>
      <c r="I24" s="195"/>
      <c r="J24" s="132"/>
      <c r="K24" s="296"/>
      <c r="L24" s="266"/>
      <c r="M24" s="195"/>
      <c r="N24" s="132"/>
      <c r="O24" s="296"/>
      <c r="P24" s="266"/>
      <c r="Q24" s="195"/>
      <c r="R24" s="132"/>
      <c r="S24" s="296"/>
      <c r="T24" s="266"/>
      <c r="U24" s="195"/>
      <c r="V24" s="132"/>
      <c r="W24" s="296"/>
      <c r="X24" s="266"/>
      <c r="Y24" s="195"/>
    </row>
    <row r="25" spans="1:29" s="2" customFormat="1" ht="13.75" customHeight="1" x14ac:dyDescent="0.25">
      <c r="A25" s="371" t="s">
        <v>48</v>
      </c>
      <c r="B25" s="132"/>
      <c r="C25" s="296"/>
      <c r="D25" s="266"/>
      <c r="E25" s="195"/>
      <c r="F25" s="132"/>
      <c r="G25" s="296"/>
      <c r="H25" s="266"/>
      <c r="I25" s="195"/>
      <c r="J25" s="132"/>
      <c r="K25" s="296"/>
      <c r="L25" s="266"/>
      <c r="M25" s="195"/>
      <c r="N25" s="132"/>
      <c r="O25" s="296"/>
      <c r="P25" s="266"/>
      <c r="Q25" s="195"/>
      <c r="R25" s="132"/>
      <c r="S25" s="296"/>
      <c r="T25" s="266"/>
      <c r="U25" s="195"/>
      <c r="V25" s="132"/>
      <c r="W25" s="296"/>
      <c r="X25" s="266"/>
      <c r="Y25" s="195"/>
    </row>
    <row r="26" spans="1:29" s="2" customFormat="1" ht="13.75" customHeight="1" x14ac:dyDescent="0.25">
      <c r="A26" s="371" t="s">
        <v>49</v>
      </c>
      <c r="B26" s="132"/>
      <c r="C26" s="296"/>
      <c r="D26" s="266"/>
      <c r="E26" s="195"/>
      <c r="F26" s="132"/>
      <c r="G26" s="296"/>
      <c r="H26" s="266"/>
      <c r="I26" s="195"/>
      <c r="J26" s="132"/>
      <c r="K26" s="296"/>
      <c r="L26" s="266"/>
      <c r="M26" s="195"/>
      <c r="N26" s="132"/>
      <c r="O26" s="296"/>
      <c r="P26" s="266"/>
      <c r="Q26" s="195"/>
      <c r="R26" s="132"/>
      <c r="S26" s="296"/>
      <c r="T26" s="266"/>
      <c r="U26" s="195"/>
      <c r="V26" s="132"/>
      <c r="W26" s="296"/>
      <c r="X26" s="266"/>
      <c r="Y26" s="195"/>
    </row>
    <row r="27" spans="1:29" s="2" customFormat="1" ht="13.75" customHeight="1" x14ac:dyDescent="0.25">
      <c r="A27" s="347" t="s">
        <v>315</v>
      </c>
      <c r="B27" s="640">
        <f>984-129</f>
        <v>855</v>
      </c>
      <c r="C27" s="458">
        <f>1072-142</f>
        <v>930</v>
      </c>
      <c r="D27" s="641">
        <f>949-74</f>
        <v>875</v>
      </c>
      <c r="E27" s="642">
        <f>999-76</f>
        <v>923</v>
      </c>
      <c r="F27" s="640">
        <f>815-91</f>
        <v>724</v>
      </c>
      <c r="G27" s="458">
        <f>770-54</f>
        <v>716</v>
      </c>
      <c r="H27" s="641">
        <f>862-43</f>
        <v>819</v>
      </c>
      <c r="I27" s="642">
        <f>944-41</f>
        <v>903</v>
      </c>
      <c r="J27" s="640">
        <f>895-115</f>
        <v>780</v>
      </c>
      <c r="K27" s="458">
        <f>729-89</f>
        <v>640</v>
      </c>
      <c r="L27" s="641">
        <f>697-27</f>
        <v>670</v>
      </c>
      <c r="M27" s="642">
        <f>991-33</f>
        <v>958</v>
      </c>
      <c r="N27" s="640">
        <f>1033-40</f>
        <v>993</v>
      </c>
      <c r="O27" s="458">
        <f>1167-49</f>
        <v>1118</v>
      </c>
      <c r="P27" s="641">
        <f>1140-92</f>
        <v>1048</v>
      </c>
      <c r="Q27" s="642">
        <f>1252-141</f>
        <v>1111</v>
      </c>
      <c r="R27" s="640">
        <f>1369-237</f>
        <v>1132</v>
      </c>
      <c r="S27" s="458">
        <f>1462-271</f>
        <v>1191</v>
      </c>
      <c r="T27" s="641">
        <f>1534-420</f>
        <v>1114</v>
      </c>
      <c r="U27" s="642">
        <f>1617-432</f>
        <v>1185</v>
      </c>
      <c r="V27" s="640">
        <v>1002</v>
      </c>
      <c r="W27" s="458">
        <v>967</v>
      </c>
      <c r="X27" s="641"/>
      <c r="Y27" s="642"/>
      <c r="Z27" s="117"/>
    </row>
    <row r="28" spans="1:29" s="2" customFormat="1" ht="13.75" customHeight="1" x14ac:dyDescent="0.25">
      <c r="A28" s="347" t="s">
        <v>50</v>
      </c>
      <c r="B28" s="643" t="s">
        <v>97</v>
      </c>
      <c r="C28" s="644" t="s">
        <v>97</v>
      </c>
      <c r="D28" s="645">
        <v>0</v>
      </c>
      <c r="E28" s="642" t="s">
        <v>97</v>
      </c>
      <c r="F28" s="643" t="s">
        <v>97</v>
      </c>
      <c r="G28" s="645">
        <v>0</v>
      </c>
      <c r="H28" s="645">
        <v>0</v>
      </c>
      <c r="I28" s="642" t="s">
        <v>97</v>
      </c>
      <c r="J28" s="645">
        <v>0</v>
      </c>
      <c r="K28" s="645">
        <v>0</v>
      </c>
      <c r="L28" s="645">
        <v>0</v>
      </c>
      <c r="M28" s="646">
        <v>0</v>
      </c>
      <c r="N28" s="645">
        <v>0</v>
      </c>
      <c r="O28" s="645">
        <v>0</v>
      </c>
      <c r="P28" s="645">
        <v>0</v>
      </c>
      <c r="Q28" s="646">
        <v>0</v>
      </c>
      <c r="R28" s="645">
        <v>0</v>
      </c>
      <c r="S28" s="645">
        <v>0</v>
      </c>
      <c r="T28" s="645">
        <v>0</v>
      </c>
      <c r="U28" s="646">
        <v>0</v>
      </c>
      <c r="V28" s="645">
        <v>0</v>
      </c>
      <c r="W28" s="645">
        <v>0</v>
      </c>
      <c r="X28" s="645"/>
      <c r="Y28" s="646"/>
      <c r="Z28" s="117"/>
    </row>
    <row r="29" spans="1:29" s="2" customFormat="1" ht="13.75" customHeight="1" x14ac:dyDescent="0.25">
      <c r="A29" s="347" t="s">
        <v>51</v>
      </c>
      <c r="B29" s="643" t="s">
        <v>97</v>
      </c>
      <c r="C29" s="644" t="s">
        <v>97</v>
      </c>
      <c r="D29" s="645">
        <v>0</v>
      </c>
      <c r="E29" s="647" t="s">
        <v>97</v>
      </c>
      <c r="F29" s="643" t="s">
        <v>97</v>
      </c>
      <c r="G29" s="645">
        <v>0</v>
      </c>
      <c r="H29" s="645">
        <v>0</v>
      </c>
      <c r="I29" s="647" t="s">
        <v>97</v>
      </c>
      <c r="J29" s="645">
        <v>0</v>
      </c>
      <c r="K29" s="645">
        <v>0</v>
      </c>
      <c r="L29" s="645">
        <v>0</v>
      </c>
      <c r="M29" s="646">
        <v>0</v>
      </c>
      <c r="N29" s="645">
        <v>0</v>
      </c>
      <c r="O29" s="645">
        <v>0</v>
      </c>
      <c r="P29" s="645">
        <v>0</v>
      </c>
      <c r="Q29" s="646">
        <v>0</v>
      </c>
      <c r="R29" s="645">
        <v>0</v>
      </c>
      <c r="S29" s="645">
        <v>0</v>
      </c>
      <c r="T29" s="645">
        <v>0</v>
      </c>
      <c r="U29" s="646">
        <v>0</v>
      </c>
      <c r="V29" s="645">
        <v>0</v>
      </c>
      <c r="W29" s="645">
        <v>0</v>
      </c>
      <c r="X29" s="645"/>
      <c r="Y29" s="646"/>
      <c r="Z29" s="117"/>
    </row>
    <row r="30" spans="1:29" s="2" customFormat="1" ht="13.75" customHeight="1" x14ac:dyDescent="0.25">
      <c r="A30" s="347" t="s">
        <v>311</v>
      </c>
      <c r="B30" s="643">
        <v>67</v>
      </c>
      <c r="C30" s="644">
        <v>64</v>
      </c>
      <c r="D30" s="648">
        <v>62</v>
      </c>
      <c r="E30" s="647">
        <v>60</v>
      </c>
      <c r="F30" s="643">
        <v>66</v>
      </c>
      <c r="G30" s="644">
        <v>53</v>
      </c>
      <c r="H30" s="648">
        <v>41</v>
      </c>
      <c r="I30" s="647">
        <v>32</v>
      </c>
      <c r="J30" s="643">
        <v>26</v>
      </c>
      <c r="K30" s="644">
        <v>25</v>
      </c>
      <c r="L30" s="648">
        <v>25</v>
      </c>
      <c r="M30" s="647">
        <v>60</v>
      </c>
      <c r="N30" s="643">
        <v>42</v>
      </c>
      <c r="O30" s="644">
        <v>36</v>
      </c>
      <c r="P30" s="648">
        <v>30</v>
      </c>
      <c r="Q30" s="647">
        <v>25</v>
      </c>
      <c r="R30" s="643">
        <v>16</v>
      </c>
      <c r="S30" s="644">
        <v>12</v>
      </c>
      <c r="T30" s="648">
        <v>8</v>
      </c>
      <c r="U30" s="647">
        <v>19</v>
      </c>
      <c r="V30" s="643">
        <v>27</v>
      </c>
      <c r="W30" s="644">
        <v>23</v>
      </c>
      <c r="X30" s="648"/>
      <c r="Y30" s="647"/>
      <c r="Z30" s="117"/>
    </row>
    <row r="31" spans="1:29" s="2" customFormat="1" ht="13.75" customHeight="1" x14ac:dyDescent="0.25">
      <c r="A31" s="347" t="s">
        <v>316</v>
      </c>
      <c r="B31" s="640">
        <f>865+129</f>
        <v>994</v>
      </c>
      <c r="C31" s="458">
        <f>712+142</f>
        <v>854</v>
      </c>
      <c r="D31" s="641">
        <f>1583+74</f>
        <v>1657</v>
      </c>
      <c r="E31" s="642">
        <f>1219+76</f>
        <v>1295</v>
      </c>
      <c r="F31" s="640">
        <f>1264+91</f>
        <v>1355</v>
      </c>
      <c r="G31" s="458">
        <f>983+54</f>
        <v>1037</v>
      </c>
      <c r="H31" s="641">
        <f>1081+43</f>
        <v>1124</v>
      </c>
      <c r="I31" s="642">
        <f>815+41</f>
        <v>856</v>
      </c>
      <c r="J31" s="640">
        <f>910+115</f>
        <v>1025</v>
      </c>
      <c r="K31" s="458">
        <f>889+89</f>
        <v>978</v>
      </c>
      <c r="L31" s="641">
        <f>940+27</f>
        <v>967</v>
      </c>
      <c r="M31" s="642">
        <f>966+33</f>
        <v>999</v>
      </c>
      <c r="N31" s="640">
        <f>1190+40</f>
        <v>1230</v>
      </c>
      <c r="O31" s="458">
        <f>1133+49</f>
        <v>1182</v>
      </c>
      <c r="P31" s="641">
        <f>1269+92</f>
        <v>1361</v>
      </c>
      <c r="Q31" s="642">
        <f>1175+141</f>
        <v>1316</v>
      </c>
      <c r="R31" s="640">
        <f>1460+237</f>
        <v>1697</v>
      </c>
      <c r="S31" s="458">
        <f>1467+271</f>
        <v>1738</v>
      </c>
      <c r="T31" s="641">
        <f>1677+420</f>
        <v>2097</v>
      </c>
      <c r="U31" s="642">
        <f>1634+432</f>
        <v>2066</v>
      </c>
      <c r="V31" s="640">
        <v>2186</v>
      </c>
      <c r="W31" s="458">
        <v>2096</v>
      </c>
      <c r="X31" s="641"/>
      <c r="Y31" s="642"/>
      <c r="Z31" s="117"/>
      <c r="AC31" s="40"/>
    </row>
    <row r="32" spans="1:29" s="2" customFormat="1" ht="13.75" customHeight="1" x14ac:dyDescent="0.25">
      <c r="A32" s="347" t="s">
        <v>52</v>
      </c>
      <c r="B32" s="640">
        <v>1249</v>
      </c>
      <c r="C32" s="458">
        <v>2</v>
      </c>
      <c r="D32" s="641">
        <v>1002</v>
      </c>
      <c r="E32" s="642">
        <v>1107</v>
      </c>
      <c r="F32" s="640">
        <v>1117</v>
      </c>
      <c r="G32" s="458">
        <v>1177</v>
      </c>
      <c r="H32" s="641">
        <v>1142</v>
      </c>
      <c r="I32" s="642" t="s">
        <v>97</v>
      </c>
      <c r="J32" s="645">
        <v>0</v>
      </c>
      <c r="K32" s="458">
        <v>1349</v>
      </c>
      <c r="L32" s="641">
        <v>1749</v>
      </c>
      <c r="M32" s="646">
        <v>0</v>
      </c>
      <c r="N32" s="645">
        <v>0</v>
      </c>
      <c r="O32" s="645">
        <v>0</v>
      </c>
      <c r="P32" s="641">
        <v>999</v>
      </c>
      <c r="Q32" s="646">
        <v>0</v>
      </c>
      <c r="R32" s="645">
        <v>0</v>
      </c>
      <c r="S32" s="645">
        <v>0</v>
      </c>
      <c r="T32" s="645">
        <v>0</v>
      </c>
      <c r="U32" s="646">
        <v>0</v>
      </c>
      <c r="V32" s="645">
        <v>998</v>
      </c>
      <c r="W32" s="645">
        <v>999</v>
      </c>
      <c r="X32" s="645"/>
      <c r="Y32" s="646"/>
      <c r="Z32" s="117"/>
      <c r="AC32" s="40"/>
    </row>
    <row r="33" spans="1:25" s="2" customFormat="1" ht="13.75" customHeight="1" x14ac:dyDescent="0.25">
      <c r="A33" s="371" t="s">
        <v>53</v>
      </c>
      <c r="B33" s="285">
        <v>3165</v>
      </c>
      <c r="C33" s="452">
        <v>1850</v>
      </c>
      <c r="D33" s="268">
        <v>3596</v>
      </c>
      <c r="E33" s="382">
        <v>3385</v>
      </c>
      <c r="F33" s="285">
        <v>3262</v>
      </c>
      <c r="G33" s="452">
        <v>2983</v>
      </c>
      <c r="H33" s="268">
        <v>3126</v>
      </c>
      <c r="I33" s="382">
        <v>1791</v>
      </c>
      <c r="J33" s="285">
        <v>1831</v>
      </c>
      <c r="K33" s="452">
        <v>2992</v>
      </c>
      <c r="L33" s="268">
        <v>3411</v>
      </c>
      <c r="M33" s="382">
        <v>2017</v>
      </c>
      <c r="N33" s="285">
        <v>2265</v>
      </c>
      <c r="O33" s="452">
        <v>2336</v>
      </c>
      <c r="P33" s="268">
        <v>3438</v>
      </c>
      <c r="Q33" s="382">
        <v>2452</v>
      </c>
      <c r="R33" s="285">
        <v>2845</v>
      </c>
      <c r="S33" s="452">
        <v>2941</v>
      </c>
      <c r="T33" s="268">
        <v>3219</v>
      </c>
      <c r="U33" s="382">
        <v>3270</v>
      </c>
      <c r="V33" s="285">
        <v>4213</v>
      </c>
      <c r="W33" s="452">
        <v>4085</v>
      </c>
      <c r="X33" s="268"/>
      <c r="Y33" s="382"/>
    </row>
    <row r="34" spans="1:25" s="2" customFormat="1" ht="10.15" customHeight="1" x14ac:dyDescent="0.25">
      <c r="A34" s="371"/>
      <c r="B34" s="132"/>
      <c r="C34" s="296"/>
      <c r="D34" s="266"/>
      <c r="E34" s="195"/>
      <c r="F34" s="132"/>
      <c r="G34" s="296"/>
      <c r="H34" s="266"/>
      <c r="I34" s="195"/>
      <c r="J34" s="132"/>
      <c r="K34" s="296"/>
      <c r="L34" s="266"/>
      <c r="M34" s="195"/>
      <c r="N34" s="132"/>
      <c r="O34" s="296"/>
      <c r="P34" s="266"/>
      <c r="Q34" s="195"/>
      <c r="R34" s="132"/>
      <c r="S34" s="296"/>
      <c r="T34" s="266"/>
      <c r="U34" s="195"/>
      <c r="V34" s="132"/>
      <c r="W34" s="296"/>
      <c r="X34" s="266"/>
      <c r="Y34" s="195"/>
    </row>
    <row r="35" spans="1:25" s="2" customFormat="1" ht="13.75" customHeight="1" x14ac:dyDescent="0.25">
      <c r="A35" s="371" t="s">
        <v>54</v>
      </c>
      <c r="B35" s="132"/>
      <c r="C35" s="296"/>
      <c r="D35" s="266"/>
      <c r="E35" s="195"/>
      <c r="F35" s="132"/>
      <c r="G35" s="296"/>
      <c r="H35" s="266"/>
      <c r="I35" s="195"/>
      <c r="J35" s="132"/>
      <c r="K35" s="296"/>
      <c r="L35" s="266"/>
      <c r="M35" s="195"/>
      <c r="N35" s="132"/>
      <c r="O35" s="296"/>
      <c r="P35" s="266"/>
      <c r="Q35" s="195"/>
      <c r="R35" s="132"/>
      <c r="S35" s="296"/>
      <c r="T35" s="266"/>
      <c r="U35" s="195"/>
      <c r="V35" s="132"/>
      <c r="W35" s="296"/>
      <c r="X35" s="266"/>
      <c r="Y35" s="195"/>
    </row>
    <row r="36" spans="1:25" s="2" customFormat="1" ht="13.75" customHeight="1" x14ac:dyDescent="0.25">
      <c r="A36" s="347" t="s">
        <v>55</v>
      </c>
      <c r="B36" s="132">
        <v>5329</v>
      </c>
      <c r="C36" s="296">
        <v>5341</v>
      </c>
      <c r="D36" s="266">
        <v>5354</v>
      </c>
      <c r="E36" s="195">
        <v>6247</v>
      </c>
      <c r="F36" s="132">
        <v>6223</v>
      </c>
      <c r="G36" s="296">
        <v>7361</v>
      </c>
      <c r="H36" s="266">
        <v>7363</v>
      </c>
      <c r="I36" s="195">
        <v>7365</v>
      </c>
      <c r="J36" s="132">
        <v>7366</v>
      </c>
      <c r="K36" s="296">
        <v>8004</v>
      </c>
      <c r="L36" s="266">
        <v>7607</v>
      </c>
      <c r="M36" s="195">
        <v>7609</v>
      </c>
      <c r="N36" s="132">
        <v>7611</v>
      </c>
      <c r="O36" s="296">
        <v>9591</v>
      </c>
      <c r="P36" s="266">
        <v>8594</v>
      </c>
      <c r="Q36" s="195">
        <v>10572</v>
      </c>
      <c r="R36" s="132">
        <v>10573</v>
      </c>
      <c r="S36" s="296">
        <v>11160</v>
      </c>
      <c r="T36" s="266">
        <v>11162</v>
      </c>
      <c r="U36" s="195">
        <v>11165</v>
      </c>
      <c r="V36" s="132">
        <v>10169</v>
      </c>
      <c r="W36" s="296">
        <v>10171</v>
      </c>
      <c r="X36" s="266"/>
      <c r="Y36" s="195"/>
    </row>
    <row r="37" spans="1:25" s="2" customFormat="1" x14ac:dyDescent="0.25">
      <c r="A37" s="347" t="s">
        <v>56</v>
      </c>
      <c r="B37" s="297" t="s">
        <v>97</v>
      </c>
      <c r="C37" s="302" t="s">
        <v>97</v>
      </c>
      <c r="D37" s="406">
        <v>0</v>
      </c>
      <c r="E37" s="549">
        <v>0</v>
      </c>
      <c r="F37" s="297" t="s">
        <v>97</v>
      </c>
      <c r="G37" s="406">
        <v>0</v>
      </c>
      <c r="H37" s="406">
        <v>0</v>
      </c>
      <c r="I37" s="381" t="s">
        <v>97</v>
      </c>
      <c r="J37" s="406">
        <v>0</v>
      </c>
      <c r="K37" s="406">
        <v>0</v>
      </c>
      <c r="L37" s="406">
        <v>0</v>
      </c>
      <c r="M37" s="549">
        <v>0</v>
      </c>
      <c r="N37" s="406">
        <v>0</v>
      </c>
      <c r="O37" s="406">
        <v>0</v>
      </c>
      <c r="P37" s="406">
        <v>0</v>
      </c>
      <c r="Q37" s="549">
        <v>0</v>
      </c>
      <c r="R37" s="406">
        <v>0</v>
      </c>
      <c r="S37" s="406">
        <v>0</v>
      </c>
      <c r="T37" s="406">
        <v>0</v>
      </c>
      <c r="U37" s="549">
        <v>0</v>
      </c>
      <c r="V37" s="406">
        <v>0</v>
      </c>
      <c r="W37" s="406">
        <v>0</v>
      </c>
      <c r="X37" s="406"/>
      <c r="Y37" s="549"/>
    </row>
    <row r="38" spans="1:25" s="2" customFormat="1" x14ac:dyDescent="0.25">
      <c r="A38" s="347" t="s">
        <v>312</v>
      </c>
      <c r="B38" s="297">
        <v>15</v>
      </c>
      <c r="C38" s="302">
        <v>9</v>
      </c>
      <c r="D38" s="346">
        <v>9</v>
      </c>
      <c r="E38" s="381">
        <v>5</v>
      </c>
      <c r="F38" s="297">
        <v>4</v>
      </c>
      <c r="G38" s="406">
        <v>0</v>
      </c>
      <c r="H38" s="406">
        <v>0</v>
      </c>
      <c r="I38" s="381" t="s">
        <v>97</v>
      </c>
      <c r="J38" s="406">
        <v>0</v>
      </c>
      <c r="K38" s="406">
        <v>0</v>
      </c>
      <c r="L38" s="406">
        <v>15</v>
      </c>
      <c r="M38" s="381">
        <v>14</v>
      </c>
      <c r="N38" s="406">
        <v>14</v>
      </c>
      <c r="O38" s="406">
        <v>12</v>
      </c>
      <c r="P38" s="406">
        <v>13</v>
      </c>
      <c r="Q38" s="381">
        <v>12</v>
      </c>
      <c r="R38" s="406">
        <v>14</v>
      </c>
      <c r="S38" s="406">
        <v>12</v>
      </c>
      <c r="T38" s="406">
        <v>12</v>
      </c>
      <c r="U38" s="381">
        <v>1</v>
      </c>
      <c r="V38" s="406">
        <v>7</v>
      </c>
      <c r="W38" s="406">
        <v>8</v>
      </c>
      <c r="X38" s="406"/>
      <c r="Y38" s="381"/>
    </row>
    <row r="39" spans="1:25" s="2" customFormat="1" x14ac:dyDescent="0.25">
      <c r="A39" s="347" t="s">
        <v>313</v>
      </c>
      <c r="B39" s="297">
        <v>650</v>
      </c>
      <c r="C39" s="302">
        <v>579</v>
      </c>
      <c r="D39" s="346">
        <v>502</v>
      </c>
      <c r="E39" s="381">
        <v>450</v>
      </c>
      <c r="F39" s="297">
        <v>390</v>
      </c>
      <c r="G39" s="302">
        <v>337</v>
      </c>
      <c r="H39" s="346">
        <v>285</v>
      </c>
      <c r="I39" s="381">
        <v>282</v>
      </c>
      <c r="J39" s="297">
        <v>199</v>
      </c>
      <c r="K39" s="302">
        <v>136</v>
      </c>
      <c r="L39" s="346">
        <v>136</v>
      </c>
      <c r="M39" s="381">
        <v>85</v>
      </c>
      <c r="N39" s="297">
        <v>85</v>
      </c>
      <c r="O39" s="302">
        <v>90</v>
      </c>
      <c r="P39" s="346">
        <v>84</v>
      </c>
      <c r="Q39" s="381">
        <v>57</v>
      </c>
      <c r="R39" s="297">
        <v>53</v>
      </c>
      <c r="S39" s="302">
        <v>41</v>
      </c>
      <c r="T39" s="346">
        <v>39</v>
      </c>
      <c r="U39" s="381">
        <v>45</v>
      </c>
      <c r="V39" s="297">
        <v>38</v>
      </c>
      <c r="W39" s="302">
        <v>40</v>
      </c>
      <c r="X39" s="346"/>
      <c r="Y39" s="381"/>
    </row>
    <row r="40" spans="1:25" s="2" customFormat="1" ht="13.75" customHeight="1" x14ac:dyDescent="0.25">
      <c r="A40" s="347" t="s">
        <v>57</v>
      </c>
      <c r="B40" s="132">
        <v>1078</v>
      </c>
      <c r="C40" s="296">
        <v>976</v>
      </c>
      <c r="D40" s="266">
        <v>790</v>
      </c>
      <c r="E40" s="195">
        <v>753</v>
      </c>
      <c r="F40" s="132">
        <v>862</v>
      </c>
      <c r="G40" s="296">
        <v>858</v>
      </c>
      <c r="H40" s="266">
        <v>885</v>
      </c>
      <c r="I40" s="195">
        <v>923</v>
      </c>
      <c r="J40" s="132">
        <v>857</v>
      </c>
      <c r="K40" s="296">
        <v>870</v>
      </c>
      <c r="L40" s="266">
        <v>880</v>
      </c>
      <c r="M40" s="195">
        <v>971</v>
      </c>
      <c r="N40" s="132">
        <v>896</v>
      </c>
      <c r="O40" s="296">
        <v>924</v>
      </c>
      <c r="P40" s="266">
        <v>909</v>
      </c>
      <c r="Q40" s="195">
        <v>1001</v>
      </c>
      <c r="R40" s="132">
        <v>1076</v>
      </c>
      <c r="S40" s="296">
        <v>1159</v>
      </c>
      <c r="T40" s="266">
        <v>1123</v>
      </c>
      <c r="U40" s="195">
        <v>1015</v>
      </c>
      <c r="V40" s="132">
        <v>1057</v>
      </c>
      <c r="W40" s="296">
        <v>1014</v>
      </c>
      <c r="X40" s="266"/>
      <c r="Y40" s="195"/>
    </row>
    <row r="41" spans="1:25" s="2" customFormat="1" ht="13.75" customHeight="1" x14ac:dyDescent="0.25">
      <c r="A41" s="371" t="s">
        <v>58</v>
      </c>
      <c r="B41" s="285">
        <v>7072</v>
      </c>
      <c r="C41" s="452">
        <v>6905</v>
      </c>
      <c r="D41" s="268">
        <v>6655</v>
      </c>
      <c r="E41" s="382">
        <v>7455</v>
      </c>
      <c r="F41" s="285">
        <v>7479</v>
      </c>
      <c r="G41" s="452">
        <v>8556</v>
      </c>
      <c r="H41" s="268">
        <v>8533</v>
      </c>
      <c r="I41" s="382">
        <v>8570</v>
      </c>
      <c r="J41" s="285">
        <v>8422</v>
      </c>
      <c r="K41" s="452">
        <v>9010</v>
      </c>
      <c r="L41" s="268">
        <v>8638</v>
      </c>
      <c r="M41" s="382">
        <v>8679</v>
      </c>
      <c r="N41" s="285">
        <v>8606</v>
      </c>
      <c r="O41" s="452">
        <v>10617</v>
      </c>
      <c r="P41" s="268">
        <v>9600</v>
      </c>
      <c r="Q41" s="382">
        <v>11642</v>
      </c>
      <c r="R41" s="285">
        <v>11716</v>
      </c>
      <c r="S41" s="452">
        <v>12372</v>
      </c>
      <c r="T41" s="268">
        <v>12336</v>
      </c>
      <c r="U41" s="382">
        <v>12226</v>
      </c>
      <c r="V41" s="285">
        <v>11271</v>
      </c>
      <c r="W41" s="452">
        <v>11233</v>
      </c>
      <c r="X41" s="268"/>
      <c r="Y41" s="382"/>
    </row>
    <row r="42" spans="1:25" s="2" customFormat="1" ht="10.15" customHeight="1" x14ac:dyDescent="0.25">
      <c r="A42" s="347"/>
      <c r="B42" s="132"/>
      <c r="C42" s="296"/>
      <c r="D42" s="266"/>
      <c r="E42" s="195"/>
      <c r="F42" s="132"/>
      <c r="G42" s="296"/>
      <c r="H42" s="266"/>
      <c r="I42" s="195"/>
      <c r="J42" s="132"/>
      <c r="K42" s="296"/>
      <c r="L42" s="266"/>
      <c r="M42" s="195"/>
      <c r="N42" s="132"/>
      <c r="O42" s="296"/>
      <c r="P42" s="266"/>
      <c r="Q42" s="195"/>
      <c r="R42" s="132"/>
      <c r="S42" s="296"/>
      <c r="T42" s="266"/>
      <c r="U42" s="195"/>
      <c r="V42" s="132"/>
      <c r="W42" s="296"/>
      <c r="X42" s="266"/>
      <c r="Y42" s="195"/>
    </row>
    <row r="43" spans="1:25" s="2" customFormat="1" ht="13.75" customHeight="1" x14ac:dyDescent="0.25">
      <c r="A43" s="347" t="s">
        <v>59</v>
      </c>
      <c r="B43" s="132">
        <v>201</v>
      </c>
      <c r="C43" s="296">
        <v>159</v>
      </c>
      <c r="D43" s="266">
        <v>172</v>
      </c>
      <c r="E43" s="195">
        <v>185</v>
      </c>
      <c r="F43" s="132">
        <v>190</v>
      </c>
      <c r="G43" s="296">
        <v>195</v>
      </c>
      <c r="H43" s="266">
        <v>205</v>
      </c>
      <c r="I43" s="195">
        <v>214</v>
      </c>
      <c r="J43" s="132">
        <v>222</v>
      </c>
      <c r="K43" s="296">
        <v>193</v>
      </c>
      <c r="L43" s="266">
        <v>197</v>
      </c>
      <c r="M43" s="195">
        <v>207</v>
      </c>
      <c r="N43" s="132">
        <v>218</v>
      </c>
      <c r="O43" s="296">
        <v>227</v>
      </c>
      <c r="P43" s="266">
        <v>234</v>
      </c>
      <c r="Q43" s="195">
        <v>242</v>
      </c>
      <c r="R43" s="132">
        <v>251</v>
      </c>
      <c r="S43" s="296">
        <v>264</v>
      </c>
      <c r="T43" s="266">
        <v>279</v>
      </c>
      <c r="U43" s="195">
        <v>291</v>
      </c>
      <c r="V43" s="132">
        <v>299</v>
      </c>
      <c r="W43" s="296">
        <v>305</v>
      </c>
      <c r="X43" s="266"/>
      <c r="Y43" s="195"/>
    </row>
    <row r="44" spans="1:25" s="2" customFormat="1" ht="13.75" customHeight="1" x14ac:dyDescent="0.25">
      <c r="A44" s="347" t="s">
        <v>60</v>
      </c>
      <c r="B44" s="132">
        <v>13689</v>
      </c>
      <c r="C44" s="296">
        <v>13730</v>
      </c>
      <c r="D44" s="266">
        <v>10633</v>
      </c>
      <c r="E44" s="195">
        <v>10505</v>
      </c>
      <c r="F44" s="132">
        <v>9741</v>
      </c>
      <c r="G44" s="296">
        <v>9325</v>
      </c>
      <c r="H44" s="266">
        <v>9390</v>
      </c>
      <c r="I44" s="195">
        <v>9441</v>
      </c>
      <c r="J44" s="132">
        <v>9036</v>
      </c>
      <c r="K44" s="296">
        <v>8862</v>
      </c>
      <c r="L44" s="266">
        <v>8876</v>
      </c>
      <c r="M44" s="195">
        <v>8944</v>
      </c>
      <c r="N44" s="132">
        <v>8303</v>
      </c>
      <c r="O44" s="296">
        <v>7442</v>
      </c>
      <c r="P44" s="266">
        <v>6738</v>
      </c>
      <c r="Q44" s="195">
        <v>6528</v>
      </c>
      <c r="R44" s="132">
        <v>6509</v>
      </c>
      <c r="S44" s="296">
        <v>6962</v>
      </c>
      <c r="T44" s="266">
        <v>7106</v>
      </c>
      <c r="U44" s="195">
        <v>7449</v>
      </c>
      <c r="V44" s="132">
        <v>7949</v>
      </c>
      <c r="W44" s="296">
        <v>8172</v>
      </c>
      <c r="X44" s="266"/>
      <c r="Y44" s="195"/>
    </row>
    <row r="45" spans="1:25" s="2" customFormat="1" ht="13.75" customHeight="1" x14ac:dyDescent="0.25">
      <c r="A45" s="371" t="s">
        <v>61</v>
      </c>
      <c r="B45" s="285">
        <v>13890</v>
      </c>
      <c r="C45" s="452">
        <v>13889</v>
      </c>
      <c r="D45" s="268">
        <v>10805</v>
      </c>
      <c r="E45" s="382">
        <v>10690</v>
      </c>
      <c r="F45" s="285">
        <v>9931</v>
      </c>
      <c r="G45" s="452">
        <v>9520</v>
      </c>
      <c r="H45" s="268">
        <v>9595</v>
      </c>
      <c r="I45" s="382">
        <v>9655</v>
      </c>
      <c r="J45" s="285">
        <v>9258</v>
      </c>
      <c r="K45" s="452">
        <v>9055</v>
      </c>
      <c r="L45" s="268">
        <v>9073</v>
      </c>
      <c r="M45" s="382">
        <v>9151</v>
      </c>
      <c r="N45" s="285">
        <v>8521</v>
      </c>
      <c r="O45" s="452">
        <v>7669</v>
      </c>
      <c r="P45" s="268">
        <v>6972</v>
      </c>
      <c r="Q45" s="382">
        <v>6770</v>
      </c>
      <c r="R45" s="285">
        <v>6760</v>
      </c>
      <c r="S45" s="452">
        <v>7226</v>
      </c>
      <c r="T45" s="268">
        <v>7385</v>
      </c>
      <c r="U45" s="382">
        <v>7740</v>
      </c>
      <c r="V45" s="285">
        <v>8248</v>
      </c>
      <c r="W45" s="452">
        <v>8477</v>
      </c>
      <c r="X45" s="268"/>
      <c r="Y45" s="382"/>
    </row>
    <row r="46" spans="1:25" s="2" customFormat="1" ht="10.15" customHeight="1" x14ac:dyDescent="0.25">
      <c r="A46" s="347"/>
      <c r="B46" s="132"/>
      <c r="C46" s="296"/>
      <c r="D46" s="266"/>
      <c r="E46" s="195"/>
      <c r="F46" s="132"/>
      <c r="G46" s="296"/>
      <c r="H46" s="266"/>
      <c r="I46" s="195"/>
      <c r="J46" s="132"/>
      <c r="K46" s="296"/>
      <c r="L46" s="266"/>
      <c r="M46" s="195"/>
      <c r="N46" s="132"/>
      <c r="O46" s="296"/>
      <c r="P46" s="266"/>
      <c r="Q46" s="195"/>
      <c r="R46" s="132"/>
      <c r="S46" s="296"/>
      <c r="T46" s="266"/>
      <c r="U46" s="195"/>
      <c r="V46" s="132"/>
      <c r="W46" s="296"/>
      <c r="X46" s="266"/>
      <c r="Y46" s="195"/>
    </row>
    <row r="47" spans="1:25" s="2" customFormat="1" ht="13.75" customHeight="1" thickBot="1" x14ac:dyDescent="0.3">
      <c r="A47" s="86" t="s">
        <v>62</v>
      </c>
      <c r="B47" s="298">
        <v>24127</v>
      </c>
      <c r="C47" s="450">
        <v>22644</v>
      </c>
      <c r="D47" s="269">
        <v>21056</v>
      </c>
      <c r="E47" s="383">
        <v>21530</v>
      </c>
      <c r="F47" s="298">
        <v>20672</v>
      </c>
      <c r="G47" s="450">
        <v>21059</v>
      </c>
      <c r="H47" s="269">
        <v>21254</v>
      </c>
      <c r="I47" s="383">
        <v>20016</v>
      </c>
      <c r="J47" s="298">
        <v>19511</v>
      </c>
      <c r="K47" s="450">
        <v>21057</v>
      </c>
      <c r="L47" s="269">
        <v>21122</v>
      </c>
      <c r="M47" s="383">
        <v>19847</v>
      </c>
      <c r="N47" s="298">
        <v>19392</v>
      </c>
      <c r="O47" s="450">
        <v>20622</v>
      </c>
      <c r="P47" s="269">
        <v>20010</v>
      </c>
      <c r="Q47" s="383">
        <v>20864</v>
      </c>
      <c r="R47" s="298">
        <v>21321</v>
      </c>
      <c r="S47" s="450">
        <v>22539</v>
      </c>
      <c r="T47" s="269">
        <v>22940</v>
      </c>
      <c r="U47" s="383">
        <v>23236</v>
      </c>
      <c r="V47" s="298">
        <v>23732</v>
      </c>
      <c r="W47" s="450">
        <v>23795</v>
      </c>
      <c r="X47" s="269"/>
      <c r="Y47" s="383"/>
    </row>
    <row r="48" spans="1:25" s="2" customFormat="1" x14ac:dyDescent="0.25">
      <c r="B48" s="62"/>
      <c r="C48" s="62"/>
      <c r="D48" s="62"/>
      <c r="E48" s="62"/>
      <c r="F48" s="62"/>
      <c r="G48" s="62"/>
      <c r="H48" s="62"/>
      <c r="I48" s="62"/>
      <c r="J48" s="62"/>
      <c r="K48" s="62"/>
      <c r="L48" s="62"/>
      <c r="M48" s="62"/>
      <c r="N48" s="62"/>
      <c r="O48" s="62"/>
      <c r="P48" s="62"/>
      <c r="Q48" s="62"/>
      <c r="R48" s="62"/>
      <c r="S48" s="62"/>
      <c r="T48" s="62"/>
      <c r="U48" s="62"/>
      <c r="V48" s="62"/>
      <c r="W48" s="62"/>
      <c r="X48" s="62"/>
      <c r="Y48" s="62"/>
    </row>
    <row r="49" spans="1:25" s="2" customFormat="1" x14ac:dyDescent="0.25">
      <c r="A49" s="384"/>
      <c r="C49" s="62"/>
      <c r="E49" s="62"/>
      <c r="G49" s="62"/>
      <c r="I49" s="62"/>
      <c r="K49" s="62"/>
      <c r="M49" s="62"/>
      <c r="O49" s="62"/>
      <c r="Q49" s="62"/>
      <c r="S49" s="62"/>
      <c r="U49" s="62"/>
      <c r="W49" s="62"/>
      <c r="Y49" s="62"/>
    </row>
    <row r="50" spans="1:25" s="2" customFormat="1" ht="57.5" x14ac:dyDescent="0.25">
      <c r="A50" s="347" t="s">
        <v>314</v>
      </c>
      <c r="C50" s="62"/>
      <c r="E50" s="62"/>
      <c r="G50" s="62"/>
      <c r="I50" s="62"/>
      <c r="J50" s="40"/>
      <c r="K50" s="40"/>
      <c r="L50" s="40"/>
      <c r="M50" s="40"/>
      <c r="N50" s="40"/>
      <c r="O50" s="62"/>
      <c r="Q50" s="62"/>
      <c r="R50" s="40"/>
      <c r="S50" s="62"/>
      <c r="U50" s="62"/>
      <c r="V50" s="40"/>
      <c r="W50" s="62"/>
      <c r="Y50" s="62"/>
    </row>
    <row r="51" spans="1:25" s="2" customFormat="1" x14ac:dyDescent="0.25">
      <c r="A51" s="384"/>
      <c r="C51" s="62"/>
      <c r="G51" s="62"/>
      <c r="K51" s="62"/>
      <c r="O51" s="62"/>
      <c r="S51" s="62"/>
      <c r="W51" s="62"/>
    </row>
    <row r="52" spans="1:25" s="2" customFormat="1" x14ac:dyDescent="0.25">
      <c r="A52" s="385"/>
      <c r="C52" s="62"/>
      <c r="G52" s="62"/>
      <c r="K52" s="62"/>
      <c r="O52" s="62"/>
      <c r="S52" s="62"/>
      <c r="W52" s="62"/>
    </row>
    <row r="53" spans="1:25" x14ac:dyDescent="0.25">
      <c r="A53" s="347"/>
      <c r="C53" s="87"/>
      <c r="G53" s="87"/>
      <c r="K53" s="87"/>
      <c r="O53" s="87"/>
      <c r="S53" s="87"/>
      <c r="W53" s="87"/>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I102"/>
  <sheetViews>
    <sheetView zoomScale="115" zoomScaleNormal="115" workbookViewId="0">
      <pane xSplit="1" ySplit="5" topLeftCell="W21" activePane="bottomRight" state="frozen"/>
      <selection activeCell="N50" sqref="N50"/>
      <selection pane="topRight" activeCell="N50" sqref="N50"/>
      <selection pane="bottomLeft" activeCell="N50" sqref="N50"/>
      <selection pane="bottomRight" activeCell="AC25" sqref="AC25"/>
    </sheetView>
  </sheetViews>
  <sheetFormatPr defaultRowHeight="12.5" outlineLevelCol="1" x14ac:dyDescent="0.25"/>
  <cols>
    <col min="1" max="1" width="63.54296875" style="33" customWidth="1"/>
    <col min="2" max="23" width="9.453125" style="133" customWidth="1" outlineLevel="1"/>
    <col min="24" max="25" width="9.453125" style="133" hidden="1" customWidth="1" outlineLevel="1"/>
    <col min="26" max="26" width="2.7265625" customWidth="1"/>
    <col min="27" max="30" width="9.1796875" style="133" customWidth="1"/>
    <col min="31" max="32" width="8.7265625" style="133" customWidth="1"/>
  </cols>
  <sheetData>
    <row r="1" spans="1:32" ht="14" x14ac:dyDescent="0.3">
      <c r="A1" s="1" t="s">
        <v>0</v>
      </c>
    </row>
    <row r="2" spans="1:32" ht="14.5" thickBot="1" x14ac:dyDescent="0.35">
      <c r="A2" s="1" t="s">
        <v>104</v>
      </c>
      <c r="AF2" s="133" t="s">
        <v>222</v>
      </c>
    </row>
    <row r="3" spans="1:32" s="3" customFormat="1" ht="14.25" customHeight="1" thickBot="1" x14ac:dyDescent="0.35">
      <c r="A3" s="17"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2" s="2" customFormat="1" ht="14.25" customHeight="1" x14ac:dyDescent="0.25">
      <c r="A4" s="32"/>
      <c r="B4" s="307"/>
      <c r="C4" s="299"/>
      <c r="D4" s="26"/>
      <c r="E4" s="83"/>
      <c r="F4" s="307"/>
      <c r="G4" s="299"/>
      <c r="H4" s="26"/>
      <c r="I4" s="83"/>
      <c r="J4" s="307"/>
      <c r="K4" s="299"/>
      <c r="L4" s="26"/>
      <c r="M4" s="83"/>
      <c r="N4" s="307"/>
      <c r="O4" s="299"/>
      <c r="P4" s="26"/>
      <c r="Q4" s="83"/>
      <c r="R4" s="307"/>
      <c r="S4" s="299"/>
      <c r="T4" s="26"/>
      <c r="U4" s="83"/>
      <c r="V4" s="307"/>
      <c r="W4" s="299"/>
      <c r="X4" s="26"/>
      <c r="Y4" s="83"/>
      <c r="AA4" s="76"/>
      <c r="AB4" s="76"/>
      <c r="AC4" s="76"/>
      <c r="AD4" s="76"/>
      <c r="AE4" s="76"/>
      <c r="AF4" s="76"/>
    </row>
    <row r="5" spans="1:32" s="2" customFormat="1" ht="13.75" customHeight="1" x14ac:dyDescent="0.25">
      <c r="A5" s="29" t="s">
        <v>63</v>
      </c>
      <c r="B5" s="308"/>
      <c r="C5" s="284"/>
      <c r="D5" s="23"/>
      <c r="E5" s="83"/>
      <c r="F5" s="308"/>
      <c r="G5" s="284"/>
      <c r="H5" s="23"/>
      <c r="I5" s="83"/>
      <c r="J5" s="308"/>
      <c r="K5" s="284"/>
      <c r="L5" s="23"/>
      <c r="M5" s="83"/>
      <c r="N5" s="308"/>
      <c r="O5" s="284"/>
      <c r="P5" s="23"/>
      <c r="Q5" s="83"/>
      <c r="R5" s="308"/>
      <c r="S5" s="284"/>
      <c r="T5" s="23"/>
      <c r="U5" s="83"/>
      <c r="V5" s="308"/>
      <c r="W5" s="284"/>
      <c r="X5" s="23"/>
      <c r="Y5" s="83"/>
      <c r="AA5" s="50"/>
      <c r="AB5" s="50"/>
      <c r="AC5" s="50"/>
      <c r="AD5" s="50"/>
      <c r="AE5" s="50"/>
      <c r="AF5" s="50"/>
    </row>
    <row r="6" spans="1:32" s="2" customFormat="1" ht="13.75" customHeight="1" x14ac:dyDescent="0.3">
      <c r="A6" s="30" t="s">
        <v>24</v>
      </c>
      <c r="B6" s="309">
        <v>70</v>
      </c>
      <c r="C6" s="285">
        <v>66</v>
      </c>
      <c r="D6" s="70">
        <v>1833</v>
      </c>
      <c r="E6" s="149">
        <v>289</v>
      </c>
      <c r="F6" s="309">
        <v>-16</v>
      </c>
      <c r="G6" s="285">
        <v>46</v>
      </c>
      <c r="H6" s="528">
        <v>119</v>
      </c>
      <c r="I6" s="529">
        <v>123</v>
      </c>
      <c r="J6" s="309">
        <v>-13</v>
      </c>
      <c r="K6" s="285">
        <v>-209</v>
      </c>
      <c r="L6" s="528">
        <v>-18</v>
      </c>
      <c r="M6" s="529">
        <v>320</v>
      </c>
      <c r="N6" s="309">
        <v>364</v>
      </c>
      <c r="O6" s="285">
        <v>406</v>
      </c>
      <c r="P6" s="528">
        <v>526</v>
      </c>
      <c r="Q6" s="529">
        <v>610</v>
      </c>
      <c r="R6" s="309">
        <v>666</v>
      </c>
      <c r="S6" s="285">
        <v>683</v>
      </c>
      <c r="T6" s="528">
        <v>750</v>
      </c>
      <c r="U6" s="529">
        <v>734</v>
      </c>
      <c r="V6" s="309">
        <v>623</v>
      </c>
      <c r="W6" s="452">
        <v>704</v>
      </c>
      <c r="X6" s="528"/>
      <c r="Y6" s="529"/>
      <c r="AA6" s="486">
        <v>2258</v>
      </c>
      <c r="AB6" s="486">
        <f>SUM(F6:I6)</f>
        <v>272</v>
      </c>
      <c r="AC6" s="486">
        <f>SUM(J6:M6)</f>
        <v>80</v>
      </c>
      <c r="AD6" s="486">
        <f>N6+O6+P6+Q6</f>
        <v>1906</v>
      </c>
      <c r="AE6" s="486">
        <f>SUM(R6:U6)</f>
        <v>2833</v>
      </c>
      <c r="AF6" s="491">
        <f>SUM(V6:Y6)</f>
        <v>1327</v>
      </c>
    </row>
    <row r="7" spans="1:32" s="2" customFormat="1" ht="6" customHeight="1" x14ac:dyDescent="0.25">
      <c r="A7" s="31"/>
      <c r="B7" s="310"/>
      <c r="C7" s="132"/>
      <c r="D7" s="47"/>
      <c r="E7" s="150"/>
      <c r="F7" s="310"/>
      <c r="G7" s="132"/>
      <c r="H7" s="47"/>
      <c r="I7" s="150"/>
      <c r="J7" s="310"/>
      <c r="K7" s="132"/>
      <c r="L7" s="47"/>
      <c r="M7" s="150"/>
      <c r="N7" s="310"/>
      <c r="O7" s="132"/>
      <c r="P7" s="47"/>
      <c r="Q7" s="150"/>
      <c r="R7" s="310"/>
      <c r="S7" s="132"/>
      <c r="T7" s="47"/>
      <c r="U7" s="150"/>
      <c r="V7" s="310"/>
      <c r="W7" s="132"/>
      <c r="X7" s="47"/>
      <c r="Y7" s="150"/>
      <c r="AA7" s="230"/>
      <c r="AB7" s="230"/>
      <c r="AC7" s="230"/>
      <c r="AD7" s="230"/>
      <c r="AE7" s="230"/>
      <c r="AF7" s="230"/>
    </row>
    <row r="8" spans="1:32" s="94" customFormat="1" ht="25.5" hidden="1" customHeight="1" x14ac:dyDescent="0.25">
      <c r="A8" s="89" t="s">
        <v>64</v>
      </c>
      <c r="B8" s="339" t="s">
        <v>97</v>
      </c>
      <c r="C8" s="300" t="s">
        <v>97</v>
      </c>
      <c r="D8" s="463">
        <v>0</v>
      </c>
      <c r="E8" s="243" t="s">
        <v>97</v>
      </c>
      <c r="F8" s="339" t="s">
        <v>97</v>
      </c>
      <c r="G8" s="463">
        <v>0</v>
      </c>
      <c r="H8" s="463">
        <v>0</v>
      </c>
      <c r="I8" s="243">
        <v>0</v>
      </c>
      <c r="J8" s="339">
        <v>0</v>
      </c>
      <c r="K8" s="463">
        <v>0</v>
      </c>
      <c r="L8" s="463">
        <v>0</v>
      </c>
      <c r="M8" s="243">
        <v>0</v>
      </c>
      <c r="N8" s="339">
        <v>0</v>
      </c>
      <c r="O8" s="463">
        <v>0</v>
      </c>
      <c r="P8" s="463">
        <v>0</v>
      </c>
      <c r="Q8" s="243">
        <v>0</v>
      </c>
      <c r="R8" s="339">
        <v>0</v>
      </c>
      <c r="S8" s="463">
        <v>0</v>
      </c>
      <c r="T8" s="463">
        <v>0</v>
      </c>
      <c r="U8" s="243">
        <v>0</v>
      </c>
      <c r="V8" s="339">
        <v>0</v>
      </c>
      <c r="W8" s="463"/>
      <c r="X8" s="463"/>
      <c r="Y8" s="243"/>
      <c r="AA8" s="243" t="s">
        <v>97</v>
      </c>
      <c r="AB8" s="243">
        <f>SUM(F8:I8)</f>
        <v>0</v>
      </c>
      <c r="AC8" s="243">
        <f>SUM(J8:M8)</f>
        <v>0</v>
      </c>
      <c r="AD8" s="243">
        <f>N8+O8+P8+Q8</f>
        <v>0</v>
      </c>
      <c r="AE8" s="243">
        <f>SUM(R8:U8)</f>
        <v>0</v>
      </c>
      <c r="AF8" s="243">
        <f>SUM(S8:V8)</f>
        <v>0</v>
      </c>
    </row>
    <row r="9" spans="1:32" s="94" customFormat="1" ht="25.5" customHeight="1" x14ac:dyDescent="0.25">
      <c r="A9" s="89" t="s">
        <v>108</v>
      </c>
      <c r="B9" s="311"/>
      <c r="C9" s="453"/>
      <c r="D9" s="51"/>
      <c r="E9" s="494"/>
      <c r="F9" s="311"/>
      <c r="G9" s="453"/>
      <c r="H9" s="51"/>
      <c r="I9" s="494"/>
      <c r="J9" s="311"/>
      <c r="K9" s="453"/>
      <c r="L9" s="51"/>
      <c r="M9" s="494"/>
      <c r="N9" s="311"/>
      <c r="O9" s="453"/>
      <c r="P9" s="51"/>
      <c r="Q9" s="494"/>
      <c r="R9" s="311"/>
      <c r="S9" s="453"/>
      <c r="T9" s="51"/>
      <c r="U9" s="494"/>
      <c r="V9" s="311"/>
      <c r="W9" s="453"/>
      <c r="X9" s="51"/>
      <c r="Y9" s="494"/>
      <c r="AA9" s="230"/>
      <c r="AB9" s="230"/>
      <c r="AC9" s="230"/>
      <c r="AD9" s="230"/>
      <c r="AE9" s="230"/>
      <c r="AF9" s="230"/>
    </row>
    <row r="10" spans="1:32" s="2" customFormat="1" ht="13.75" customHeight="1" x14ac:dyDescent="0.25">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v>281</v>
      </c>
      <c r="X10" s="47"/>
      <c r="Y10" s="150"/>
      <c r="AA10" s="230">
        <v>1987</v>
      </c>
      <c r="AB10" s="230">
        <f t="shared" ref="AB10:AB16" si="0">SUM(F10:I10)</f>
        <v>2047</v>
      </c>
      <c r="AC10" s="230">
        <f t="shared" ref="AC10:AC18" si="1">SUM(J10:M10)</f>
        <v>1988</v>
      </c>
      <c r="AD10" s="230">
        <f t="shared" ref="AD10:AD18" si="2">N10+O10+P10+Q10</f>
        <v>1262</v>
      </c>
      <c r="AE10" s="230">
        <f t="shared" ref="AE10:AE18" si="3">SUM(R10:U10)</f>
        <v>1250</v>
      </c>
      <c r="AF10" s="230">
        <f t="shared" ref="AF10:AF18" si="4">SUM(V10:Y10)</f>
        <v>564</v>
      </c>
    </row>
    <row r="11" spans="1:32" s="62" customFormat="1" ht="13.75" customHeight="1" x14ac:dyDescent="0.25">
      <c r="A11" s="198" t="s">
        <v>322</v>
      </c>
      <c r="B11" s="312">
        <v>69</v>
      </c>
      <c r="C11" s="296">
        <v>69</v>
      </c>
      <c r="D11" s="194">
        <v>83</v>
      </c>
      <c r="E11" s="431">
        <v>93</v>
      </c>
      <c r="F11" s="312">
        <v>86</v>
      </c>
      <c r="G11" s="296">
        <v>87</v>
      </c>
      <c r="H11" s="194">
        <v>84</v>
      </c>
      <c r="I11" s="431">
        <v>89</v>
      </c>
      <c r="J11" s="312">
        <v>107</v>
      </c>
      <c r="K11" s="296">
        <v>105</v>
      </c>
      <c r="L11" s="194">
        <v>83</v>
      </c>
      <c r="M11" s="431">
        <v>89</v>
      </c>
      <c r="N11" s="312">
        <v>91</v>
      </c>
      <c r="O11" s="296">
        <v>93</v>
      </c>
      <c r="P11" s="194">
        <v>81</v>
      </c>
      <c r="Q11" s="431">
        <v>88</v>
      </c>
      <c r="R11" s="312">
        <v>89</v>
      </c>
      <c r="S11" s="296">
        <v>89</v>
      </c>
      <c r="T11" s="194">
        <v>89</v>
      </c>
      <c r="U11" s="431">
        <v>97</v>
      </c>
      <c r="V11" s="312">
        <v>99</v>
      </c>
      <c r="W11" s="296">
        <v>102</v>
      </c>
      <c r="X11" s="194"/>
      <c r="Y11" s="431"/>
      <c r="AA11" s="487">
        <v>314</v>
      </c>
      <c r="AB11" s="487">
        <f t="shared" si="0"/>
        <v>346</v>
      </c>
      <c r="AC11" s="487">
        <f t="shared" si="1"/>
        <v>384</v>
      </c>
      <c r="AD11" s="487">
        <f t="shared" si="2"/>
        <v>353</v>
      </c>
      <c r="AE11" s="487">
        <f t="shared" si="3"/>
        <v>364</v>
      </c>
      <c r="AF11" s="487">
        <f t="shared" si="4"/>
        <v>201</v>
      </c>
    </row>
    <row r="12" spans="1:32" s="62" customFormat="1" ht="13.75" customHeight="1" x14ac:dyDescent="0.25">
      <c r="A12" s="333" t="s">
        <v>225</v>
      </c>
      <c r="B12" s="312">
        <v>10</v>
      </c>
      <c r="C12" s="296">
        <v>11</v>
      </c>
      <c r="D12" s="194">
        <v>10</v>
      </c>
      <c r="E12" s="431">
        <v>11</v>
      </c>
      <c r="F12" s="312">
        <v>11</v>
      </c>
      <c r="G12" s="296">
        <v>11</v>
      </c>
      <c r="H12" s="194">
        <v>12</v>
      </c>
      <c r="I12" s="431">
        <v>8</v>
      </c>
      <c r="J12" s="407">
        <v>0</v>
      </c>
      <c r="K12" s="296">
        <v>-1</v>
      </c>
      <c r="L12" s="407">
        <v>0</v>
      </c>
      <c r="M12" s="431">
        <v>0</v>
      </c>
      <c r="N12" s="407">
        <v>0</v>
      </c>
      <c r="O12" s="296">
        <v>1</v>
      </c>
      <c r="P12" s="407">
        <v>0</v>
      </c>
      <c r="Q12" s="431">
        <v>0</v>
      </c>
      <c r="R12" s="407">
        <v>1</v>
      </c>
      <c r="S12" s="463">
        <v>0</v>
      </c>
      <c r="T12" s="407">
        <v>1</v>
      </c>
      <c r="U12" s="431">
        <v>0</v>
      </c>
      <c r="V12" s="407">
        <v>1</v>
      </c>
      <c r="W12" s="463">
        <v>0</v>
      </c>
      <c r="X12" s="407"/>
      <c r="Y12" s="431"/>
      <c r="AA12" s="487">
        <v>42</v>
      </c>
      <c r="AB12" s="487">
        <f t="shared" si="0"/>
        <v>42</v>
      </c>
      <c r="AC12" s="487">
        <f t="shared" si="1"/>
        <v>-1</v>
      </c>
      <c r="AD12" s="487">
        <f t="shared" si="2"/>
        <v>1</v>
      </c>
      <c r="AE12" s="487">
        <f t="shared" si="3"/>
        <v>2</v>
      </c>
      <c r="AF12" s="487">
        <f t="shared" si="4"/>
        <v>1</v>
      </c>
    </row>
    <row r="13" spans="1:32" s="2" customFormat="1" ht="13.75" customHeight="1" x14ac:dyDescent="0.25">
      <c r="A13" s="333" t="s">
        <v>163</v>
      </c>
      <c r="B13" s="328">
        <v>3</v>
      </c>
      <c r="C13" s="454">
        <v>2</v>
      </c>
      <c r="D13" s="355">
        <v>2</v>
      </c>
      <c r="E13" s="212">
        <v>3</v>
      </c>
      <c r="F13" s="328">
        <v>3</v>
      </c>
      <c r="G13" s="454">
        <v>3</v>
      </c>
      <c r="H13" s="355">
        <v>2</v>
      </c>
      <c r="I13" s="212">
        <v>3</v>
      </c>
      <c r="J13" s="328">
        <v>1</v>
      </c>
      <c r="K13" s="454">
        <v>3</v>
      </c>
      <c r="L13" s="355">
        <v>3</v>
      </c>
      <c r="M13" s="212">
        <v>2</v>
      </c>
      <c r="N13" s="328">
        <v>2</v>
      </c>
      <c r="O13" s="454">
        <v>1</v>
      </c>
      <c r="P13" s="355">
        <v>2</v>
      </c>
      <c r="Q13" s="212">
        <v>2</v>
      </c>
      <c r="R13" s="328">
        <v>2</v>
      </c>
      <c r="S13" s="454">
        <v>1</v>
      </c>
      <c r="T13" s="355">
        <v>2</v>
      </c>
      <c r="U13" s="212">
        <v>2</v>
      </c>
      <c r="V13" s="328">
        <v>2</v>
      </c>
      <c r="W13" s="454">
        <v>2</v>
      </c>
      <c r="X13" s="355"/>
      <c r="Y13" s="212"/>
      <c r="AA13" s="230">
        <v>10</v>
      </c>
      <c r="AB13" s="230">
        <f t="shared" si="0"/>
        <v>11</v>
      </c>
      <c r="AC13" s="230">
        <f t="shared" si="1"/>
        <v>9</v>
      </c>
      <c r="AD13" s="230">
        <f t="shared" si="2"/>
        <v>7</v>
      </c>
      <c r="AE13" s="230">
        <f t="shared" si="3"/>
        <v>7</v>
      </c>
      <c r="AF13" s="230">
        <f t="shared" si="4"/>
        <v>4</v>
      </c>
    </row>
    <row r="14" spans="1:32" s="2" customFormat="1" ht="13.75" customHeight="1" x14ac:dyDescent="0.25">
      <c r="A14" s="93" t="s">
        <v>66</v>
      </c>
      <c r="B14" s="328" t="s">
        <v>97</v>
      </c>
      <c r="C14" s="301" t="s">
        <v>97</v>
      </c>
      <c r="D14" s="42">
        <v>0</v>
      </c>
      <c r="E14" s="431">
        <v>0</v>
      </c>
      <c r="F14" s="328">
        <v>0</v>
      </c>
      <c r="G14" s="301">
        <v>1</v>
      </c>
      <c r="H14" s="42">
        <v>-21</v>
      </c>
      <c r="I14" s="431">
        <v>0</v>
      </c>
      <c r="J14" s="328">
        <v>-110</v>
      </c>
      <c r="K14" s="463">
        <v>0</v>
      </c>
      <c r="L14" s="42">
        <v>-1</v>
      </c>
      <c r="M14" s="431">
        <v>-4</v>
      </c>
      <c r="N14" s="328">
        <v>0</v>
      </c>
      <c r="O14" s="463">
        <v>0</v>
      </c>
      <c r="P14" s="42">
        <v>0</v>
      </c>
      <c r="Q14" s="431">
        <v>-1</v>
      </c>
      <c r="R14" s="328">
        <v>-1</v>
      </c>
      <c r="S14" s="463">
        <v>0</v>
      </c>
      <c r="T14" s="42">
        <v>-1</v>
      </c>
      <c r="U14" s="431">
        <v>2</v>
      </c>
      <c r="V14" s="328">
        <v>0</v>
      </c>
      <c r="W14" s="463">
        <v>-1</v>
      </c>
      <c r="X14" s="42"/>
      <c r="Y14" s="431"/>
      <c r="AA14" s="230">
        <v>0</v>
      </c>
      <c r="AB14" s="485">
        <f t="shared" si="0"/>
        <v>-20</v>
      </c>
      <c r="AC14" s="485">
        <f t="shared" si="1"/>
        <v>-115</v>
      </c>
      <c r="AD14" s="485">
        <f t="shared" si="2"/>
        <v>-1</v>
      </c>
      <c r="AE14" s="485">
        <f t="shared" si="3"/>
        <v>0</v>
      </c>
      <c r="AF14" s="485">
        <f t="shared" si="4"/>
        <v>-1</v>
      </c>
    </row>
    <row r="15" spans="1:32" s="2" customFormat="1" ht="13.75" customHeight="1" x14ac:dyDescent="0.25">
      <c r="A15" s="93" t="s">
        <v>109</v>
      </c>
      <c r="B15" s="328" t="s">
        <v>97</v>
      </c>
      <c r="C15" s="301">
        <v>26</v>
      </c>
      <c r="D15" s="42">
        <v>0</v>
      </c>
      <c r="E15" s="212">
        <v>0</v>
      </c>
      <c r="F15" s="328">
        <v>0</v>
      </c>
      <c r="G15" s="301">
        <v>10</v>
      </c>
      <c r="H15" s="42">
        <v>1</v>
      </c>
      <c r="I15" s="212">
        <v>0</v>
      </c>
      <c r="J15" s="328">
        <v>0</v>
      </c>
      <c r="K15" s="463">
        <v>0</v>
      </c>
      <c r="L15" s="42">
        <v>0</v>
      </c>
      <c r="M15" s="212">
        <v>60</v>
      </c>
      <c r="N15" s="328">
        <v>0</v>
      </c>
      <c r="O15" s="463">
        <v>0</v>
      </c>
      <c r="P15" s="42">
        <v>0</v>
      </c>
      <c r="Q15" s="212">
        <v>22</v>
      </c>
      <c r="R15" s="328">
        <v>0</v>
      </c>
      <c r="S15" s="463">
        <v>18</v>
      </c>
      <c r="T15" s="42">
        <v>0</v>
      </c>
      <c r="U15" s="212">
        <v>0</v>
      </c>
      <c r="V15" s="328">
        <v>0</v>
      </c>
      <c r="W15" s="463">
        <v>0</v>
      </c>
      <c r="X15" s="42"/>
      <c r="Y15" s="212"/>
      <c r="AA15" s="488">
        <v>26</v>
      </c>
      <c r="AB15" s="488">
        <f t="shared" si="0"/>
        <v>11</v>
      </c>
      <c r="AC15" s="488">
        <f t="shared" si="1"/>
        <v>60</v>
      </c>
      <c r="AD15" s="488">
        <f t="shared" si="2"/>
        <v>22</v>
      </c>
      <c r="AE15" s="488">
        <f t="shared" si="3"/>
        <v>18</v>
      </c>
      <c r="AF15" s="488">
        <f t="shared" si="4"/>
        <v>0</v>
      </c>
    </row>
    <row r="16" spans="1:32" s="2" customFormat="1" ht="13.75" customHeight="1" x14ac:dyDescent="0.25">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v>1</v>
      </c>
      <c r="X16" s="47"/>
      <c r="Y16" s="150"/>
      <c r="AA16" s="230">
        <v>-54</v>
      </c>
      <c r="AB16" s="230">
        <f t="shared" si="0"/>
        <v>-1</v>
      </c>
      <c r="AC16" s="230">
        <f t="shared" si="1"/>
        <v>4</v>
      </c>
      <c r="AD16" s="230">
        <f t="shared" si="2"/>
        <v>2</v>
      </c>
      <c r="AE16" s="230">
        <f t="shared" si="3"/>
        <v>1</v>
      </c>
      <c r="AF16" s="230">
        <f t="shared" si="4"/>
        <v>3</v>
      </c>
    </row>
    <row r="17" spans="1:35" s="2" customFormat="1" ht="13.75" customHeight="1" x14ac:dyDescent="0.25">
      <c r="A17" s="93" t="s">
        <v>226</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v>-6</v>
      </c>
      <c r="X17" s="47"/>
      <c r="Y17" s="150"/>
      <c r="AA17" s="230"/>
      <c r="AB17" s="230"/>
      <c r="AC17" s="230">
        <f t="shared" si="1"/>
        <v>-21</v>
      </c>
      <c r="AD17" s="230">
        <f t="shared" si="2"/>
        <v>2</v>
      </c>
      <c r="AE17" s="230">
        <f t="shared" si="3"/>
        <v>4</v>
      </c>
      <c r="AF17" s="230">
        <f t="shared" si="4"/>
        <v>-5</v>
      </c>
    </row>
    <row r="18" spans="1:35" s="2" customFormat="1" ht="13.75" customHeight="1" x14ac:dyDescent="0.25">
      <c r="A18" s="93" t="s">
        <v>318</v>
      </c>
      <c r="B18" s="313">
        <v>-42</v>
      </c>
      <c r="C18" s="301">
        <v>-67</v>
      </c>
      <c r="D18" s="45">
        <v>-50</v>
      </c>
      <c r="E18" s="212">
        <v>-52</v>
      </c>
      <c r="F18" s="313">
        <v>-63</v>
      </c>
      <c r="G18" s="301">
        <v>-30</v>
      </c>
      <c r="H18" s="45">
        <v>-33</v>
      </c>
      <c r="I18" s="212">
        <v>-49</v>
      </c>
      <c r="J18" s="313">
        <v>-75</v>
      </c>
      <c r="K18" s="301">
        <v>-81</v>
      </c>
      <c r="L18" s="45">
        <v>-118</v>
      </c>
      <c r="M18" s="212">
        <v>-75</v>
      </c>
      <c r="N18" s="313">
        <v>12</v>
      </c>
      <c r="O18" s="463">
        <v>0</v>
      </c>
      <c r="P18" s="45">
        <v>-6</v>
      </c>
      <c r="Q18" s="212">
        <v>-26</v>
      </c>
      <c r="R18" s="313">
        <v>-33</v>
      </c>
      <c r="S18" s="463">
        <v>-65</v>
      </c>
      <c r="T18" s="45">
        <v>-98</v>
      </c>
      <c r="U18" s="212">
        <v>-40</v>
      </c>
      <c r="V18" s="313">
        <v>-62</v>
      </c>
      <c r="W18" s="463">
        <v>-75</v>
      </c>
      <c r="X18" s="45"/>
      <c r="Y18" s="212"/>
      <c r="AA18" s="487">
        <v>-211</v>
      </c>
      <c r="AB18" s="487">
        <f>SUM(F18:I18)</f>
        <v>-175</v>
      </c>
      <c r="AC18" s="487">
        <f t="shared" si="1"/>
        <v>-349</v>
      </c>
      <c r="AD18" s="487">
        <f t="shared" si="2"/>
        <v>-20</v>
      </c>
      <c r="AE18" s="487">
        <f t="shared" si="3"/>
        <v>-236</v>
      </c>
      <c r="AF18" s="487">
        <f t="shared" si="4"/>
        <v>-137</v>
      </c>
    </row>
    <row r="19" spans="1:35" s="2" customFormat="1" ht="6" customHeight="1" x14ac:dyDescent="0.25">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AA19" s="230"/>
      <c r="AB19" s="230"/>
      <c r="AC19" s="230"/>
      <c r="AD19" s="230"/>
      <c r="AE19" s="230"/>
      <c r="AF19" s="230"/>
    </row>
    <row r="20" spans="1:35" s="2" customFormat="1" ht="13.75" customHeight="1" x14ac:dyDescent="0.25">
      <c r="A20" s="370" t="s">
        <v>317</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150"/>
      <c r="AA20" s="230"/>
      <c r="AB20" s="230"/>
      <c r="AC20" s="230"/>
      <c r="AD20" s="230"/>
      <c r="AE20" s="230"/>
      <c r="AF20" s="230"/>
    </row>
    <row r="21" spans="1:35" s="2" customFormat="1" ht="13.75" customHeight="1" x14ac:dyDescent="0.25">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1">
        <v>59</v>
      </c>
      <c r="V21" s="310">
        <v>-138</v>
      </c>
      <c r="W21" s="296">
        <v>-20</v>
      </c>
      <c r="X21" s="47"/>
      <c r="Y21" s="431"/>
      <c r="Z21" s="62"/>
      <c r="AA21" s="487">
        <v>187</v>
      </c>
      <c r="AB21" s="487">
        <f>SUM(F21:I21)</f>
        <v>116</v>
      </c>
      <c r="AC21" s="487">
        <f>SUM(J21:M21)</f>
        <v>-51</v>
      </c>
      <c r="AD21" s="487">
        <f>N21+O21+P21+Q21</f>
        <v>-176</v>
      </c>
      <c r="AE21" s="487">
        <f>SUM(R21:U21)</f>
        <v>-106</v>
      </c>
      <c r="AF21" s="487">
        <f t="shared" ref="AF21:AF22" si="5">SUM(V21:Y21)</f>
        <v>-158</v>
      </c>
    </row>
    <row r="22" spans="1:35" s="2" customFormat="1" ht="13.75" customHeight="1" x14ac:dyDescent="0.25">
      <c r="A22" s="369" t="s">
        <v>110</v>
      </c>
      <c r="B22" s="310">
        <v>-36</v>
      </c>
      <c r="C22" s="296">
        <v>-76</v>
      </c>
      <c r="D22" s="47">
        <v>42</v>
      </c>
      <c r="E22" s="150">
        <v>5</v>
      </c>
      <c r="F22" s="310">
        <v>38</v>
      </c>
      <c r="G22" s="296">
        <v>84</v>
      </c>
      <c r="H22" s="47">
        <v>13</v>
      </c>
      <c r="I22" s="150">
        <v>-7</v>
      </c>
      <c r="J22" s="310">
        <v>-35</v>
      </c>
      <c r="K22" s="463">
        <v>0</v>
      </c>
      <c r="L22" s="47">
        <v>164</v>
      </c>
      <c r="M22" s="150">
        <v>34</v>
      </c>
      <c r="N22" s="310">
        <v>-26</v>
      </c>
      <c r="O22" s="463">
        <v>-60</v>
      </c>
      <c r="P22" s="47">
        <v>-57</v>
      </c>
      <c r="Q22" s="150">
        <v>-16</v>
      </c>
      <c r="R22" s="310">
        <v>-122</v>
      </c>
      <c r="S22" s="463">
        <v>-151</v>
      </c>
      <c r="T22" s="47">
        <v>-119</v>
      </c>
      <c r="U22" s="431">
        <v>-201</v>
      </c>
      <c r="V22" s="310">
        <v>-196</v>
      </c>
      <c r="W22" s="463">
        <v>-129</v>
      </c>
      <c r="X22" s="47"/>
      <c r="Y22" s="431"/>
      <c r="Z22" s="62"/>
      <c r="AA22" s="487">
        <v>-65</v>
      </c>
      <c r="AB22" s="487">
        <f>SUM(F22:I22)</f>
        <v>128</v>
      </c>
      <c r="AC22" s="487">
        <f>SUM(J22:M22)</f>
        <v>163</v>
      </c>
      <c r="AD22" s="487">
        <f>N22+O22+P22+Q22</f>
        <v>-159</v>
      </c>
      <c r="AE22" s="487">
        <f>SUM(R22:U22)</f>
        <v>-593</v>
      </c>
      <c r="AF22" s="487">
        <f t="shared" si="5"/>
        <v>-325</v>
      </c>
    </row>
    <row r="23" spans="1:35" s="2" customFormat="1" ht="13.75" customHeight="1" x14ac:dyDescent="0.25">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1">
        <v>19</v>
      </c>
      <c r="V23" s="312">
        <v>-33</v>
      </c>
      <c r="W23" s="296">
        <v>33</v>
      </c>
      <c r="X23" s="42"/>
      <c r="Y23" s="431"/>
      <c r="Z23" s="62"/>
      <c r="AA23" s="487">
        <v>-22</v>
      </c>
      <c r="AB23" s="487">
        <f>SUM(F23:I23)</f>
        <v>43</v>
      </c>
      <c r="AC23" s="487">
        <f>SUM(J23:M23)</f>
        <v>7</v>
      </c>
      <c r="AD23" s="487">
        <f>N23+O23+P23+Q23</f>
        <v>-350</v>
      </c>
      <c r="AE23" s="487">
        <f>SUM(R23:U23)</f>
        <v>-306</v>
      </c>
      <c r="AF23" s="487">
        <f t="shared" ref="AF23:AF24" si="6">SUM(V23:Y23)</f>
        <v>0</v>
      </c>
    </row>
    <row r="24" spans="1:35" s="2" customFormat="1" ht="13.75" customHeight="1" x14ac:dyDescent="0.25">
      <c r="A24" s="369" t="s">
        <v>210</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1">
        <v>88</v>
      </c>
      <c r="V24" s="312">
        <v>52</v>
      </c>
      <c r="W24" s="296">
        <v>-144</v>
      </c>
      <c r="X24" s="194"/>
      <c r="Y24" s="431"/>
      <c r="Z24" s="62"/>
      <c r="AA24" s="487">
        <v>-129</v>
      </c>
      <c r="AB24" s="487">
        <f>SUM(F24:I24)</f>
        <v>-460</v>
      </c>
      <c r="AC24" s="487">
        <f>SUM(J24:M24)</f>
        <v>319</v>
      </c>
      <c r="AD24" s="487">
        <f>N24+O24+P24+Q24</f>
        <v>248</v>
      </c>
      <c r="AE24" s="487">
        <f>SUM(R24:U24)</f>
        <v>633</v>
      </c>
      <c r="AF24" s="487">
        <f t="shared" si="6"/>
        <v>-92</v>
      </c>
      <c r="AG24" s="62"/>
      <c r="AH24" s="62"/>
      <c r="AI24" s="62"/>
    </row>
    <row r="25" spans="1:35" s="2" customFormat="1" ht="6" customHeight="1" x14ac:dyDescent="0.25">
      <c r="A25" s="91"/>
      <c r="B25" s="310"/>
      <c r="C25" s="296"/>
      <c r="D25" s="47"/>
      <c r="E25" s="150"/>
      <c r="F25" s="310"/>
      <c r="G25" s="296"/>
      <c r="H25" s="47"/>
      <c r="I25" s="150"/>
      <c r="J25" s="310"/>
      <c r="K25" s="296"/>
      <c r="L25" s="47"/>
      <c r="M25" s="150"/>
      <c r="N25" s="310"/>
      <c r="O25" s="296"/>
      <c r="P25" s="47"/>
      <c r="Q25" s="150"/>
      <c r="R25" s="310"/>
      <c r="S25" s="296"/>
      <c r="T25" s="47"/>
      <c r="U25" s="150"/>
      <c r="V25" s="310"/>
      <c r="W25" s="296"/>
      <c r="X25" s="194"/>
      <c r="Y25" s="431"/>
      <c r="Z25" s="62"/>
      <c r="AA25" s="487"/>
      <c r="AB25" s="487"/>
      <c r="AC25" s="487"/>
      <c r="AD25" s="487"/>
      <c r="AE25" s="487"/>
      <c r="AF25" s="487"/>
      <c r="AG25" s="62"/>
      <c r="AH25" s="62"/>
      <c r="AI25" s="62"/>
    </row>
    <row r="26" spans="1:35" s="2" customFormat="1" ht="13.75" customHeight="1" x14ac:dyDescent="0.25">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v>5</v>
      </c>
      <c r="X26" s="194"/>
      <c r="Y26" s="431"/>
      <c r="Z26" s="62"/>
      <c r="AA26" s="487">
        <v>14</v>
      </c>
      <c r="AB26" s="487">
        <f>SUM(F26:I26)</f>
        <v>15</v>
      </c>
      <c r="AC26" s="487">
        <f>SUM(J26:M26)</f>
        <v>16</v>
      </c>
      <c r="AD26" s="487">
        <f>N26+O26+P26+Q26</f>
        <v>-5</v>
      </c>
      <c r="AE26" s="487">
        <f>SUM(R26:U26)</f>
        <v>17</v>
      </c>
      <c r="AF26" s="487">
        <f t="shared" ref="AF26:AF28" si="7">SUM(V26:Y26)</f>
        <v>10</v>
      </c>
      <c r="AG26" s="62"/>
      <c r="AH26" s="62"/>
      <c r="AI26" s="62"/>
    </row>
    <row r="27" spans="1:35" s="62" customFormat="1" ht="13.75" customHeight="1" x14ac:dyDescent="0.25">
      <c r="A27" s="199" t="s">
        <v>67</v>
      </c>
      <c r="B27" s="312">
        <v>-3</v>
      </c>
      <c r="C27" s="296">
        <v>9</v>
      </c>
      <c r="D27" s="194">
        <v>6</v>
      </c>
      <c r="E27" s="431">
        <v>0</v>
      </c>
      <c r="F27" s="312">
        <v>5</v>
      </c>
      <c r="G27" s="296">
        <v>-2</v>
      </c>
      <c r="H27" s="194">
        <v>-4</v>
      </c>
      <c r="I27" s="431">
        <v>-1</v>
      </c>
      <c r="J27" s="312">
        <v>5</v>
      </c>
      <c r="K27" s="296">
        <v>-5</v>
      </c>
      <c r="L27" s="194">
        <v>-2</v>
      </c>
      <c r="M27" s="431">
        <v>-9</v>
      </c>
      <c r="N27" s="312">
        <v>3</v>
      </c>
      <c r="O27" s="296">
        <v>-4</v>
      </c>
      <c r="P27" s="194">
        <v>-6</v>
      </c>
      <c r="Q27" s="431">
        <v>-8</v>
      </c>
      <c r="R27" s="312">
        <v>2</v>
      </c>
      <c r="S27" s="296">
        <v>6</v>
      </c>
      <c r="T27" s="194">
        <v>8</v>
      </c>
      <c r="U27" s="431">
        <v>-9</v>
      </c>
      <c r="V27" s="312">
        <v>-7</v>
      </c>
      <c r="W27" s="296">
        <v>3</v>
      </c>
      <c r="X27" s="194"/>
      <c r="Y27" s="431"/>
      <c r="AA27" s="487">
        <v>12</v>
      </c>
      <c r="AB27" s="487">
        <f>SUM(F27:I27)</f>
        <v>-2</v>
      </c>
      <c r="AC27" s="487">
        <f>SUM(J27:M27)</f>
        <v>-11</v>
      </c>
      <c r="AD27" s="487">
        <f>N27+O27+P27+Q27</f>
        <v>-15</v>
      </c>
      <c r="AE27" s="487">
        <f>SUM(R27:U27)</f>
        <v>7</v>
      </c>
      <c r="AF27" s="487">
        <f t="shared" si="7"/>
        <v>-4</v>
      </c>
    </row>
    <row r="28" spans="1:35" s="96" customFormat="1" ht="13" x14ac:dyDescent="0.3">
      <c r="A28" s="90" t="s">
        <v>68</v>
      </c>
      <c r="B28" s="314">
        <v>620</v>
      </c>
      <c r="C28" s="455">
        <v>403</v>
      </c>
      <c r="D28" s="95">
        <v>2615</v>
      </c>
      <c r="E28" s="495">
        <v>731</v>
      </c>
      <c r="F28" s="314">
        <v>296</v>
      </c>
      <c r="G28" s="455">
        <v>517</v>
      </c>
      <c r="H28" s="95">
        <v>746</v>
      </c>
      <c r="I28" s="495">
        <v>814</v>
      </c>
      <c r="J28" s="314">
        <v>512</v>
      </c>
      <c r="K28" s="455">
        <v>414</v>
      </c>
      <c r="L28" s="95">
        <v>527</v>
      </c>
      <c r="M28" s="495">
        <v>1029</v>
      </c>
      <c r="N28" s="314">
        <v>732</v>
      </c>
      <c r="O28" s="455">
        <v>636</v>
      </c>
      <c r="P28" s="95">
        <v>924</v>
      </c>
      <c r="Q28" s="495">
        <v>785</v>
      </c>
      <c r="R28" s="314">
        <v>856</v>
      </c>
      <c r="S28" s="455">
        <v>819</v>
      </c>
      <c r="T28" s="95">
        <v>1144</v>
      </c>
      <c r="U28" s="495">
        <v>1076</v>
      </c>
      <c r="V28" s="314">
        <v>632</v>
      </c>
      <c r="W28" s="455">
        <v>756</v>
      </c>
      <c r="X28" s="663"/>
      <c r="Y28" s="495"/>
      <c r="Z28" s="664"/>
      <c r="AA28" s="489">
        <v>4369</v>
      </c>
      <c r="AB28" s="489">
        <f>SUM(F28:I28)</f>
        <v>2373</v>
      </c>
      <c r="AC28" s="489">
        <f>SUM(J28:M28)</f>
        <v>2482</v>
      </c>
      <c r="AD28" s="489">
        <f>N28+O28+P28+Q28</f>
        <v>3077</v>
      </c>
      <c r="AE28" s="489">
        <f>SUM(R28:U28)</f>
        <v>3895</v>
      </c>
      <c r="AF28" s="489">
        <f t="shared" si="7"/>
        <v>1388</v>
      </c>
      <c r="AG28" s="664"/>
      <c r="AH28" s="664"/>
      <c r="AI28" s="664"/>
    </row>
    <row r="29" spans="1:35" s="2" customFormat="1" ht="6" customHeight="1" x14ac:dyDescent="0.25">
      <c r="A29" s="92"/>
      <c r="B29" s="310"/>
      <c r="C29" s="296"/>
      <c r="D29" s="47"/>
      <c r="E29" s="150"/>
      <c r="F29" s="310"/>
      <c r="G29" s="296"/>
      <c r="H29" s="47"/>
      <c r="I29" s="150"/>
      <c r="J29" s="310"/>
      <c r="K29" s="296"/>
      <c r="L29" s="47"/>
      <c r="M29" s="150"/>
      <c r="N29" s="310"/>
      <c r="O29" s="296"/>
      <c r="P29" s="47"/>
      <c r="Q29" s="150"/>
      <c r="R29" s="310"/>
      <c r="S29" s="296"/>
      <c r="T29" s="47"/>
      <c r="U29" s="150"/>
      <c r="V29" s="310"/>
      <c r="W29" s="296"/>
      <c r="X29" s="194"/>
      <c r="Y29" s="431"/>
      <c r="Z29" s="62"/>
      <c r="AA29" s="487"/>
      <c r="AB29" s="487"/>
      <c r="AC29" s="487"/>
      <c r="AD29" s="487"/>
      <c r="AE29" s="487"/>
      <c r="AF29" s="487"/>
      <c r="AG29" s="62"/>
      <c r="AH29" s="62"/>
      <c r="AI29" s="62"/>
    </row>
    <row r="30" spans="1:35" s="2" customFormat="1" ht="13.75" customHeight="1" x14ac:dyDescent="0.25">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194"/>
      <c r="Y30" s="431"/>
      <c r="Z30" s="62"/>
      <c r="AA30" s="487"/>
      <c r="AB30" s="487"/>
      <c r="AC30" s="487"/>
      <c r="AD30" s="487"/>
      <c r="AE30" s="487"/>
      <c r="AF30" s="487"/>
      <c r="AG30" s="62"/>
      <c r="AH30" s="62"/>
      <c r="AI30" s="62"/>
    </row>
    <row r="31" spans="1:35" s="2" customFormat="1" ht="13.75" customHeight="1" x14ac:dyDescent="0.25">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v>-51</v>
      </c>
      <c r="X31" s="194"/>
      <c r="Y31" s="431"/>
      <c r="Z31" s="62"/>
      <c r="AA31" s="487">
        <v>-50</v>
      </c>
      <c r="AB31" s="487">
        <f>SUM(F31:I31)</f>
        <v>-102</v>
      </c>
      <c r="AC31" s="487">
        <f>SUM(J31:M31)</f>
        <v>-130</v>
      </c>
      <c r="AD31" s="487">
        <f t="shared" ref="AD31:AD43" si="8">N31+O31+P31+Q31</f>
        <v>-132</v>
      </c>
      <c r="AE31" s="487">
        <f t="shared" ref="AE31:AE43" si="9">SUM(R31:U31)</f>
        <v>-159</v>
      </c>
      <c r="AF31" s="487">
        <f t="shared" ref="AF31:AF43" si="10">SUM(V31:Y31)</f>
        <v>-93</v>
      </c>
      <c r="AG31" s="62"/>
      <c r="AH31" s="62"/>
      <c r="AI31" s="62"/>
    </row>
    <row r="32" spans="1:35" s="2" customFormat="1" x14ac:dyDescent="0.25">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v>-201</v>
      </c>
      <c r="X32" s="75"/>
      <c r="Y32" s="304"/>
      <c r="Z32" s="55"/>
      <c r="AA32" s="230">
        <v>-611</v>
      </c>
      <c r="AB32" s="230">
        <f>SUM(F32:I32)</f>
        <v>-526</v>
      </c>
      <c r="AC32" s="230">
        <f>SUM(J32:M32)</f>
        <v>-392</v>
      </c>
      <c r="AD32" s="230">
        <f t="shared" si="8"/>
        <v>-767</v>
      </c>
      <c r="AE32" s="230">
        <f t="shared" si="9"/>
        <v>-1063</v>
      </c>
      <c r="AF32" s="230">
        <f t="shared" si="10"/>
        <v>-452</v>
      </c>
    </row>
    <row r="33" spans="1:32" s="2" customFormat="1" x14ac:dyDescent="0.25">
      <c r="A33" s="18" t="s">
        <v>238</v>
      </c>
      <c r="B33" s="315"/>
      <c r="C33" s="302"/>
      <c r="D33" s="75"/>
      <c r="E33" s="304"/>
      <c r="F33" s="315"/>
      <c r="G33" s="302"/>
      <c r="H33" s="75"/>
      <c r="I33" s="304"/>
      <c r="J33" s="315"/>
      <c r="K33" s="302"/>
      <c r="L33" s="75"/>
      <c r="M33" s="304"/>
      <c r="N33" s="315"/>
      <c r="O33" s="302"/>
      <c r="P33" s="219">
        <v>-14</v>
      </c>
      <c r="Q33" s="304">
        <v>-19</v>
      </c>
      <c r="R33" s="315">
        <v>-5</v>
      </c>
      <c r="S33" s="463">
        <v>0</v>
      </c>
      <c r="T33" s="463">
        <v>0</v>
      </c>
      <c r="U33" s="304">
        <v>0</v>
      </c>
      <c r="V33" s="340">
        <v>0</v>
      </c>
      <c r="W33" s="463">
        <v>0</v>
      </c>
      <c r="X33" s="463"/>
      <c r="Y33" s="304"/>
      <c r="Z33" s="55"/>
      <c r="AA33" s="230"/>
      <c r="AB33" s="230"/>
      <c r="AC33" s="230"/>
      <c r="AD33" s="230">
        <f t="shared" si="8"/>
        <v>-33</v>
      </c>
      <c r="AE33" s="230">
        <f t="shared" si="9"/>
        <v>-5</v>
      </c>
      <c r="AF33" s="230">
        <f t="shared" si="10"/>
        <v>0</v>
      </c>
    </row>
    <row r="34" spans="1:32" s="2" customFormat="1" x14ac:dyDescent="0.25">
      <c r="A34" s="18" t="s">
        <v>239</v>
      </c>
      <c r="B34" s="315"/>
      <c r="C34" s="302"/>
      <c r="D34" s="75"/>
      <c r="E34" s="304"/>
      <c r="F34" s="315"/>
      <c r="G34" s="302"/>
      <c r="H34" s="75"/>
      <c r="I34" s="304"/>
      <c r="J34" s="315"/>
      <c r="K34" s="302"/>
      <c r="L34" s="75"/>
      <c r="M34" s="304"/>
      <c r="N34" s="315"/>
      <c r="O34" s="302"/>
      <c r="P34" s="219">
        <v>7</v>
      </c>
      <c r="Q34" s="304">
        <v>3</v>
      </c>
      <c r="R34" s="340">
        <v>0</v>
      </c>
      <c r="S34" s="463">
        <v>0</v>
      </c>
      <c r="T34" s="463">
        <v>0</v>
      </c>
      <c r="U34" s="304">
        <v>0</v>
      </c>
      <c r="V34" s="340">
        <v>0</v>
      </c>
      <c r="W34" s="463">
        <v>0</v>
      </c>
      <c r="X34" s="463"/>
      <c r="Y34" s="304"/>
      <c r="Z34" s="55"/>
      <c r="AA34" s="230"/>
      <c r="AB34" s="230"/>
      <c r="AC34" s="230"/>
      <c r="AD34" s="230">
        <f t="shared" si="8"/>
        <v>10</v>
      </c>
      <c r="AE34" s="230">
        <f t="shared" si="9"/>
        <v>0</v>
      </c>
      <c r="AF34" s="230">
        <f t="shared" si="10"/>
        <v>0</v>
      </c>
    </row>
    <row r="35" spans="1:32" s="2" customFormat="1" x14ac:dyDescent="0.25">
      <c r="A35" s="18" t="s">
        <v>71</v>
      </c>
      <c r="B35" s="340">
        <v>0</v>
      </c>
      <c r="C35" s="302" t="s">
        <v>97</v>
      </c>
      <c r="D35" s="75">
        <v>1</v>
      </c>
      <c r="E35" s="304">
        <v>0</v>
      </c>
      <c r="F35" s="340">
        <v>0</v>
      </c>
      <c r="G35" s="463">
        <v>0</v>
      </c>
      <c r="H35" s="75">
        <v>23</v>
      </c>
      <c r="I35" s="304">
        <v>0</v>
      </c>
      <c r="J35" s="340">
        <v>0</v>
      </c>
      <c r="K35" s="463">
        <v>1</v>
      </c>
      <c r="L35" s="75">
        <v>2</v>
      </c>
      <c r="M35" s="304">
        <v>1</v>
      </c>
      <c r="N35" s="340">
        <v>0</v>
      </c>
      <c r="O35" s="463">
        <v>0</v>
      </c>
      <c r="P35" s="75">
        <v>1</v>
      </c>
      <c r="Q35" s="304">
        <v>0</v>
      </c>
      <c r="R35" s="340">
        <v>1</v>
      </c>
      <c r="S35" s="463">
        <v>0</v>
      </c>
      <c r="T35" s="75">
        <v>1</v>
      </c>
      <c r="U35" s="304">
        <v>0</v>
      </c>
      <c r="V35" s="340">
        <v>0</v>
      </c>
      <c r="W35" s="463">
        <v>1</v>
      </c>
      <c r="X35" s="75"/>
      <c r="Y35" s="304"/>
      <c r="Z35" s="55"/>
      <c r="AA35" s="230">
        <v>1</v>
      </c>
      <c r="AB35" s="230">
        <f t="shared" ref="AB35:AB43" si="11">SUM(F35:I35)</f>
        <v>23</v>
      </c>
      <c r="AC35" s="230">
        <f t="shared" ref="AC35:AC43" si="12">SUM(J35:M35)</f>
        <v>4</v>
      </c>
      <c r="AD35" s="230">
        <f t="shared" si="8"/>
        <v>1</v>
      </c>
      <c r="AE35" s="230">
        <f t="shared" si="9"/>
        <v>2</v>
      </c>
      <c r="AF35" s="230">
        <f t="shared" si="10"/>
        <v>1</v>
      </c>
    </row>
    <row r="36" spans="1:32" s="2" customFormat="1" hidden="1" x14ac:dyDescent="0.25">
      <c r="A36" s="18" t="s">
        <v>72</v>
      </c>
      <c r="B36" s="340">
        <v>0</v>
      </c>
      <c r="C36" s="302" t="s">
        <v>97</v>
      </c>
      <c r="D36" s="42">
        <v>0</v>
      </c>
      <c r="E36" s="304">
        <v>0</v>
      </c>
      <c r="F36" s="340">
        <v>0</v>
      </c>
      <c r="G36" s="463">
        <v>0</v>
      </c>
      <c r="H36" s="42">
        <v>0</v>
      </c>
      <c r="I36" s="304">
        <v>0</v>
      </c>
      <c r="J36" s="340">
        <v>0</v>
      </c>
      <c r="K36" s="463">
        <v>0</v>
      </c>
      <c r="L36" s="42">
        <v>0</v>
      </c>
      <c r="M36" s="304">
        <v>0</v>
      </c>
      <c r="N36" s="340">
        <v>0</v>
      </c>
      <c r="O36" s="463">
        <v>0</v>
      </c>
      <c r="P36" s="42">
        <v>0</v>
      </c>
      <c r="Q36" s="304">
        <v>0</v>
      </c>
      <c r="R36" s="340">
        <v>0</v>
      </c>
      <c r="S36" s="463">
        <v>0</v>
      </c>
      <c r="T36" s="42">
        <v>0</v>
      </c>
      <c r="U36" s="304">
        <v>0</v>
      </c>
      <c r="V36" s="340">
        <v>0</v>
      </c>
      <c r="W36" s="463"/>
      <c r="X36" s="42"/>
      <c r="Y36" s="304"/>
      <c r="Z36" s="55"/>
      <c r="AA36" s="243" t="s">
        <v>97</v>
      </c>
      <c r="AB36" s="243">
        <f t="shared" si="11"/>
        <v>0</v>
      </c>
      <c r="AC36" s="243">
        <f t="shared" si="12"/>
        <v>0</v>
      </c>
      <c r="AD36" s="243">
        <f t="shared" si="8"/>
        <v>0</v>
      </c>
      <c r="AE36" s="243">
        <f t="shared" si="9"/>
        <v>0</v>
      </c>
      <c r="AF36" s="243">
        <f t="shared" si="10"/>
        <v>0</v>
      </c>
    </row>
    <row r="37" spans="1:32" s="2" customFormat="1" ht="13.75" customHeight="1" x14ac:dyDescent="0.25">
      <c r="A37" s="18" t="s">
        <v>155</v>
      </c>
      <c r="B37" s="313" t="s">
        <v>97</v>
      </c>
      <c r="C37" s="301">
        <v>-18</v>
      </c>
      <c r="D37" s="42">
        <v>0</v>
      </c>
      <c r="E37" s="212">
        <v>0</v>
      </c>
      <c r="F37" s="340">
        <v>0</v>
      </c>
      <c r="G37" s="463">
        <v>0</v>
      </c>
      <c r="H37" s="42">
        <v>0</v>
      </c>
      <c r="I37" s="212">
        <v>-1698</v>
      </c>
      <c r="J37" s="340">
        <v>-10</v>
      </c>
      <c r="K37" s="463">
        <v>-11</v>
      </c>
      <c r="L37" s="546">
        <v>0</v>
      </c>
      <c r="M37" s="212">
        <v>-13</v>
      </c>
      <c r="N37" s="340">
        <v>0</v>
      </c>
      <c r="O37" s="463">
        <v>-1</v>
      </c>
      <c r="P37" s="546">
        <v>-16</v>
      </c>
      <c r="Q37" s="212">
        <v>-6</v>
      </c>
      <c r="R37" s="340">
        <v>-4</v>
      </c>
      <c r="S37" s="463">
        <v>-1</v>
      </c>
      <c r="T37" s="546">
        <v>-22</v>
      </c>
      <c r="U37" s="212">
        <v>0</v>
      </c>
      <c r="V37" s="340">
        <v>0</v>
      </c>
      <c r="W37" s="463">
        <v>0</v>
      </c>
      <c r="X37" s="546"/>
      <c r="Y37" s="212"/>
      <c r="AA37" s="243">
        <v>-18</v>
      </c>
      <c r="AB37" s="243">
        <f t="shared" si="11"/>
        <v>-1698</v>
      </c>
      <c r="AC37" s="243">
        <f t="shared" si="12"/>
        <v>-34</v>
      </c>
      <c r="AD37" s="243">
        <f t="shared" si="8"/>
        <v>-23</v>
      </c>
      <c r="AE37" s="243">
        <f t="shared" si="9"/>
        <v>-27</v>
      </c>
      <c r="AF37" s="243">
        <f t="shared" si="10"/>
        <v>0</v>
      </c>
    </row>
    <row r="38" spans="1:32" s="2" customFormat="1" x14ac:dyDescent="0.25">
      <c r="A38" s="69" t="s">
        <v>232</v>
      </c>
      <c r="B38" s="340">
        <v>0</v>
      </c>
      <c r="C38" s="302">
        <v>32</v>
      </c>
      <c r="D38" s="297">
        <v>127</v>
      </c>
      <c r="E38" s="304">
        <v>0</v>
      </c>
      <c r="F38" s="340">
        <v>37</v>
      </c>
      <c r="G38" s="463">
        <v>0</v>
      </c>
      <c r="H38" s="42">
        <v>0</v>
      </c>
      <c r="I38" s="304">
        <v>0</v>
      </c>
      <c r="J38" s="340">
        <v>161</v>
      </c>
      <c r="K38" s="463">
        <v>0</v>
      </c>
      <c r="L38" s="546">
        <v>0</v>
      </c>
      <c r="M38" s="304">
        <v>0</v>
      </c>
      <c r="N38" s="340">
        <v>0</v>
      </c>
      <c r="O38" s="463">
        <v>0</v>
      </c>
      <c r="P38" s="546">
        <v>0</v>
      </c>
      <c r="Q38" s="304">
        <v>0</v>
      </c>
      <c r="R38" s="340">
        <v>0</v>
      </c>
      <c r="S38" s="463">
        <v>0</v>
      </c>
      <c r="T38" s="546">
        <v>0</v>
      </c>
      <c r="U38" s="304">
        <v>0</v>
      </c>
      <c r="V38" s="340">
        <v>0</v>
      </c>
      <c r="W38" s="463">
        <v>0</v>
      </c>
      <c r="X38" s="546"/>
      <c r="Y38" s="304"/>
      <c r="Z38" s="62"/>
      <c r="AA38" s="436">
        <v>159</v>
      </c>
      <c r="AB38" s="436">
        <f t="shared" si="11"/>
        <v>37</v>
      </c>
      <c r="AC38" s="436">
        <f t="shared" si="12"/>
        <v>161</v>
      </c>
      <c r="AD38" s="436">
        <f t="shared" si="8"/>
        <v>0</v>
      </c>
      <c r="AE38" s="436">
        <f t="shared" si="9"/>
        <v>0</v>
      </c>
      <c r="AF38" s="436">
        <f t="shared" si="10"/>
        <v>0</v>
      </c>
    </row>
    <row r="39" spans="1:32" s="62" customFormat="1" x14ac:dyDescent="0.25">
      <c r="A39" s="69" t="s">
        <v>141</v>
      </c>
      <c r="B39" s="316" t="s">
        <v>97</v>
      </c>
      <c r="C39" s="301" t="s">
        <v>97</v>
      </c>
      <c r="D39" s="42">
        <v>4</v>
      </c>
      <c r="E39" s="432">
        <v>0</v>
      </c>
      <c r="F39" s="340">
        <v>0</v>
      </c>
      <c r="G39" s="463">
        <v>0</v>
      </c>
      <c r="H39" s="42">
        <v>0</v>
      </c>
      <c r="I39" s="432">
        <v>0</v>
      </c>
      <c r="J39" s="340">
        <v>0</v>
      </c>
      <c r="K39" s="463">
        <v>0</v>
      </c>
      <c r="L39" s="546">
        <v>0</v>
      </c>
      <c r="M39" s="432">
        <v>1</v>
      </c>
      <c r="N39" s="340">
        <v>0</v>
      </c>
      <c r="O39" s="463">
        <v>1</v>
      </c>
      <c r="P39" s="546">
        <v>2</v>
      </c>
      <c r="Q39" s="432">
        <v>7</v>
      </c>
      <c r="R39" s="340">
        <v>2</v>
      </c>
      <c r="S39" s="463">
        <v>0</v>
      </c>
      <c r="T39" s="546">
        <v>0</v>
      </c>
      <c r="U39" s="432">
        <v>8</v>
      </c>
      <c r="V39" s="340">
        <v>0</v>
      </c>
      <c r="W39" s="463">
        <v>0</v>
      </c>
      <c r="X39" s="546"/>
      <c r="Y39" s="432"/>
      <c r="AA39" s="243">
        <v>4</v>
      </c>
      <c r="AB39" s="243">
        <f t="shared" si="11"/>
        <v>0</v>
      </c>
      <c r="AC39" s="243">
        <f t="shared" si="12"/>
        <v>1</v>
      </c>
      <c r="AD39" s="243">
        <f t="shared" si="8"/>
        <v>10</v>
      </c>
      <c r="AE39" s="243">
        <f t="shared" si="9"/>
        <v>10</v>
      </c>
      <c r="AF39" s="243">
        <f t="shared" si="10"/>
        <v>0</v>
      </c>
    </row>
    <row r="40" spans="1:32" s="62" customFormat="1" x14ac:dyDescent="0.25">
      <c r="A40" s="69" t="s">
        <v>224</v>
      </c>
      <c r="B40" s="316" t="s">
        <v>97</v>
      </c>
      <c r="C40" s="301">
        <v>-7</v>
      </c>
      <c r="D40" s="42">
        <v>0</v>
      </c>
      <c r="E40" s="432">
        <v>-2</v>
      </c>
      <c r="F40" s="316">
        <v>-2</v>
      </c>
      <c r="G40" s="301">
        <v>-15</v>
      </c>
      <c r="H40" s="42">
        <v>-2</v>
      </c>
      <c r="I40" s="432">
        <v>0</v>
      </c>
      <c r="J40" s="340">
        <v>0</v>
      </c>
      <c r="K40" s="463">
        <v>0</v>
      </c>
      <c r="L40" s="546">
        <v>-15</v>
      </c>
      <c r="M40" s="432">
        <v>-15</v>
      </c>
      <c r="N40" s="340">
        <v>-2</v>
      </c>
      <c r="O40" s="463">
        <v>-4</v>
      </c>
      <c r="P40" s="546">
        <v>0</v>
      </c>
      <c r="Q40" s="432">
        <v>-2</v>
      </c>
      <c r="R40" s="340">
        <v>0</v>
      </c>
      <c r="S40" s="463">
        <v>-2</v>
      </c>
      <c r="T40" s="546">
        <v>-7</v>
      </c>
      <c r="U40" s="432">
        <v>-11</v>
      </c>
      <c r="V40" s="340">
        <v>-58</v>
      </c>
      <c r="W40" s="463">
        <v>-4</v>
      </c>
      <c r="X40" s="546"/>
      <c r="Y40" s="432"/>
      <c r="AA40" s="243">
        <v>-9</v>
      </c>
      <c r="AB40" s="243">
        <f t="shared" si="11"/>
        <v>-19</v>
      </c>
      <c r="AC40" s="243">
        <f t="shared" si="12"/>
        <v>-30</v>
      </c>
      <c r="AD40" s="243">
        <f t="shared" si="8"/>
        <v>-8</v>
      </c>
      <c r="AE40" s="243">
        <f t="shared" si="9"/>
        <v>-20</v>
      </c>
      <c r="AF40" s="243">
        <f t="shared" si="10"/>
        <v>-62</v>
      </c>
    </row>
    <row r="41" spans="1:32" s="62" customFormat="1" x14ac:dyDescent="0.25">
      <c r="A41" s="69" t="s">
        <v>223</v>
      </c>
      <c r="B41" s="316"/>
      <c r="C41" s="301"/>
      <c r="D41" s="42"/>
      <c r="E41" s="432">
        <v>2</v>
      </c>
      <c r="F41" s="316">
        <v>1</v>
      </c>
      <c r="G41" s="463">
        <v>0</v>
      </c>
      <c r="H41" s="42">
        <v>0</v>
      </c>
      <c r="I41" s="432">
        <v>0</v>
      </c>
      <c r="J41" s="340">
        <v>0</v>
      </c>
      <c r="K41" s="463">
        <v>0</v>
      </c>
      <c r="L41" s="546">
        <v>0</v>
      </c>
      <c r="M41" s="432">
        <v>2</v>
      </c>
      <c r="N41" s="340">
        <v>8</v>
      </c>
      <c r="O41" s="463">
        <v>0</v>
      </c>
      <c r="P41" s="546">
        <v>0</v>
      </c>
      <c r="Q41" s="432">
        <v>0</v>
      </c>
      <c r="R41" s="340">
        <v>0</v>
      </c>
      <c r="S41" s="463">
        <v>12</v>
      </c>
      <c r="T41" s="546">
        <v>0</v>
      </c>
      <c r="U41" s="432">
        <v>1</v>
      </c>
      <c r="V41" s="340">
        <v>0</v>
      </c>
      <c r="W41" s="463">
        <v>0</v>
      </c>
      <c r="X41" s="546"/>
      <c r="Y41" s="432"/>
      <c r="AA41" s="243">
        <v>2</v>
      </c>
      <c r="AB41" s="243">
        <f t="shared" si="11"/>
        <v>1</v>
      </c>
      <c r="AC41" s="243">
        <f t="shared" si="12"/>
        <v>2</v>
      </c>
      <c r="AD41" s="243">
        <f t="shared" si="8"/>
        <v>8</v>
      </c>
      <c r="AE41" s="243">
        <f t="shared" si="9"/>
        <v>13</v>
      </c>
      <c r="AF41" s="243">
        <f t="shared" si="10"/>
        <v>0</v>
      </c>
    </row>
    <row r="42" spans="1:32" s="62" customFormat="1" x14ac:dyDescent="0.25">
      <c r="A42" s="69" t="s">
        <v>152</v>
      </c>
      <c r="B42" s="317" t="s">
        <v>97</v>
      </c>
      <c r="C42" s="302" t="s">
        <v>97</v>
      </c>
      <c r="D42" s="42">
        <v>0</v>
      </c>
      <c r="E42" s="375">
        <v>0</v>
      </c>
      <c r="F42" s="340">
        <v>0</v>
      </c>
      <c r="G42" s="463">
        <v>0</v>
      </c>
      <c r="H42" s="42">
        <v>0</v>
      </c>
      <c r="I42" s="375">
        <v>0</v>
      </c>
      <c r="J42" s="340">
        <v>0</v>
      </c>
      <c r="K42" s="463">
        <v>0</v>
      </c>
      <c r="L42" s="42">
        <v>0</v>
      </c>
      <c r="M42" s="375">
        <v>0</v>
      </c>
      <c r="N42" s="340">
        <v>0</v>
      </c>
      <c r="O42" s="463">
        <v>0</v>
      </c>
      <c r="P42" s="42">
        <v>0</v>
      </c>
      <c r="Q42" s="375">
        <v>0</v>
      </c>
      <c r="R42" s="340">
        <v>0</v>
      </c>
      <c r="S42" s="463">
        <v>0</v>
      </c>
      <c r="T42" s="42">
        <v>0</v>
      </c>
      <c r="U42" s="375">
        <v>0</v>
      </c>
      <c r="V42" s="340">
        <v>0</v>
      </c>
      <c r="W42" s="463">
        <v>0</v>
      </c>
      <c r="X42" s="42"/>
      <c r="Y42" s="375"/>
      <c r="AA42" s="436" t="s">
        <v>97</v>
      </c>
      <c r="AB42" s="436">
        <f t="shared" si="11"/>
        <v>0</v>
      </c>
      <c r="AC42" s="436">
        <f t="shared" si="12"/>
        <v>0</v>
      </c>
      <c r="AD42" s="436">
        <f t="shared" si="8"/>
        <v>0</v>
      </c>
      <c r="AE42" s="436">
        <f t="shared" si="9"/>
        <v>0</v>
      </c>
      <c r="AF42" s="436">
        <f t="shared" si="10"/>
        <v>0</v>
      </c>
    </row>
    <row r="43" spans="1:32" s="2" customFormat="1" ht="13" x14ac:dyDescent="0.3">
      <c r="A43" s="34" t="s">
        <v>73</v>
      </c>
      <c r="B43" s="318">
        <v>-174</v>
      </c>
      <c r="C43" s="456">
        <v>-132</v>
      </c>
      <c r="D43" s="100">
        <v>-42</v>
      </c>
      <c r="E43" s="496">
        <v>-174</v>
      </c>
      <c r="F43" s="318">
        <v>-136</v>
      </c>
      <c r="G43" s="456">
        <v>-144</v>
      </c>
      <c r="H43" s="100">
        <v>-138</v>
      </c>
      <c r="I43" s="496">
        <v>-1866</v>
      </c>
      <c r="J43" s="318">
        <v>-37</v>
      </c>
      <c r="K43" s="456">
        <v>-113</v>
      </c>
      <c r="L43" s="100">
        <v>-105</v>
      </c>
      <c r="M43" s="496">
        <v>-163</v>
      </c>
      <c r="N43" s="318">
        <v>-181</v>
      </c>
      <c r="O43" s="456">
        <v>-189</v>
      </c>
      <c r="P43" s="100">
        <v>-248</v>
      </c>
      <c r="Q43" s="496">
        <v>-316</v>
      </c>
      <c r="R43" s="318">
        <v>-329</v>
      </c>
      <c r="S43" s="456">
        <v>-288</v>
      </c>
      <c r="T43" s="100">
        <v>-360</v>
      </c>
      <c r="U43" s="496">
        <v>-272</v>
      </c>
      <c r="V43" s="318">
        <v>-351</v>
      </c>
      <c r="W43" s="456">
        <v>-255</v>
      </c>
      <c r="X43" s="100"/>
      <c r="Y43" s="496"/>
      <c r="Z43" s="55"/>
      <c r="AA43" s="486">
        <v>-522</v>
      </c>
      <c r="AB43" s="486">
        <f t="shared" si="11"/>
        <v>-2284</v>
      </c>
      <c r="AC43" s="486">
        <f t="shared" si="12"/>
        <v>-418</v>
      </c>
      <c r="AD43" s="486">
        <f t="shared" si="8"/>
        <v>-934</v>
      </c>
      <c r="AE43" s="486">
        <f t="shared" si="9"/>
        <v>-1249</v>
      </c>
      <c r="AF43" s="486">
        <f t="shared" si="10"/>
        <v>-606</v>
      </c>
    </row>
    <row r="44" spans="1:32" s="2" customFormat="1" ht="10.15" customHeight="1" x14ac:dyDescent="0.25">
      <c r="A44" s="18"/>
      <c r="B44" s="310"/>
      <c r="C44" s="296"/>
      <c r="D44" s="47"/>
      <c r="E44" s="150"/>
      <c r="F44" s="310"/>
      <c r="G44" s="296"/>
      <c r="H44" s="47"/>
      <c r="I44" s="150"/>
      <c r="J44" s="310"/>
      <c r="K44" s="296"/>
      <c r="L44" s="47"/>
      <c r="M44" s="150"/>
      <c r="N44" s="310"/>
      <c r="O44" s="296"/>
      <c r="P44" s="47"/>
      <c r="Q44" s="150"/>
      <c r="R44" s="310"/>
      <c r="S44" s="296"/>
      <c r="T44" s="47"/>
      <c r="U44" s="150"/>
      <c r="V44" s="310"/>
      <c r="W44" s="296"/>
      <c r="X44" s="47"/>
      <c r="Y44" s="150"/>
      <c r="AA44" s="230"/>
      <c r="AB44" s="230"/>
      <c r="AC44" s="230"/>
      <c r="AD44" s="230"/>
      <c r="AE44" s="230"/>
      <c r="AF44" s="230"/>
    </row>
    <row r="45" spans="1:32" s="2" customFormat="1" ht="13.75" customHeight="1" x14ac:dyDescent="0.25">
      <c r="A45" s="34" t="s">
        <v>74</v>
      </c>
      <c r="B45" s="310"/>
      <c r="C45" s="296"/>
      <c r="D45" s="47"/>
      <c r="E45" s="150"/>
      <c r="F45" s="310"/>
      <c r="G45" s="296"/>
      <c r="H45" s="47"/>
      <c r="I45" s="150"/>
      <c r="J45" s="310"/>
      <c r="K45" s="296"/>
      <c r="L45" s="47"/>
      <c r="M45" s="150"/>
      <c r="N45" s="310"/>
      <c r="O45" s="296"/>
      <c r="P45" s="47"/>
      <c r="Q45" s="150"/>
      <c r="R45" s="310"/>
      <c r="S45" s="296"/>
      <c r="T45" s="47"/>
      <c r="U45" s="150"/>
      <c r="V45" s="310"/>
      <c r="W45" s="296"/>
      <c r="X45" s="47"/>
      <c r="Y45" s="150"/>
      <c r="AA45" s="230"/>
      <c r="AB45" s="230"/>
      <c r="AC45" s="230"/>
      <c r="AD45" s="230"/>
      <c r="AE45" s="230"/>
      <c r="AF45" s="230"/>
    </row>
    <row r="46" spans="1:32" s="2" customFormat="1" x14ac:dyDescent="0.25">
      <c r="A46" s="18" t="s">
        <v>205</v>
      </c>
      <c r="B46" s="319" t="s">
        <v>97</v>
      </c>
      <c r="C46" s="449" t="s">
        <v>97</v>
      </c>
      <c r="D46" s="42">
        <v>0</v>
      </c>
      <c r="E46" s="433">
        <v>0</v>
      </c>
      <c r="F46" s="340">
        <v>0</v>
      </c>
      <c r="G46" s="463">
        <v>0</v>
      </c>
      <c r="H46" s="42">
        <v>0</v>
      </c>
      <c r="I46" s="433">
        <v>0</v>
      </c>
      <c r="J46" s="340">
        <v>0</v>
      </c>
      <c r="K46" s="463">
        <v>0</v>
      </c>
      <c r="L46" s="42">
        <v>0</v>
      </c>
      <c r="M46" s="433">
        <v>0</v>
      </c>
      <c r="N46" s="340">
        <v>0</v>
      </c>
      <c r="O46" s="463">
        <v>0</v>
      </c>
      <c r="P46" s="42">
        <v>0</v>
      </c>
      <c r="Q46" s="433">
        <v>0</v>
      </c>
      <c r="R46" s="340">
        <v>0</v>
      </c>
      <c r="S46" s="463">
        <v>0</v>
      </c>
      <c r="T46" s="42">
        <v>0</v>
      </c>
      <c r="U46" s="433">
        <v>0</v>
      </c>
      <c r="V46" s="340">
        <v>0</v>
      </c>
      <c r="W46" s="463">
        <v>0</v>
      </c>
      <c r="X46" s="42"/>
      <c r="Y46" s="433"/>
      <c r="Z46" s="55"/>
      <c r="AA46" s="243">
        <v>0</v>
      </c>
      <c r="AB46" s="243">
        <f t="shared" ref="AB46:AB65" si="13">SUM(F46:I46)</f>
        <v>0</v>
      </c>
      <c r="AC46" s="243">
        <f t="shared" ref="AC46:AC67" si="14">SUM(J46:M46)</f>
        <v>0</v>
      </c>
      <c r="AD46" s="243">
        <f t="shared" ref="AD46:AD67" si="15">N46+O46+P46+Q46</f>
        <v>0</v>
      </c>
      <c r="AE46" s="243">
        <f t="shared" ref="AE46:AE75" si="16">SUM(R46:U46)</f>
        <v>0</v>
      </c>
      <c r="AF46" s="243">
        <f t="shared" ref="AF46:AF75" si="17">SUM(V46:Y46)</f>
        <v>0</v>
      </c>
    </row>
    <row r="47" spans="1:32" s="2" customFormat="1" x14ac:dyDescent="0.25">
      <c r="A47" s="18" t="s">
        <v>215</v>
      </c>
      <c r="B47" s="319"/>
      <c r="C47" s="449"/>
      <c r="D47" s="42"/>
      <c r="E47" s="433"/>
      <c r="F47" s="340"/>
      <c r="G47" s="463"/>
      <c r="H47" s="42"/>
      <c r="I47" s="433">
        <v>-1150</v>
      </c>
      <c r="J47" s="340">
        <v>0</v>
      </c>
      <c r="K47" s="463">
        <v>0</v>
      </c>
      <c r="L47" s="42">
        <v>0</v>
      </c>
      <c r="M47" s="433">
        <v>0</v>
      </c>
      <c r="N47" s="340">
        <v>0</v>
      </c>
      <c r="O47" s="463">
        <v>0</v>
      </c>
      <c r="P47" s="42">
        <v>0</v>
      </c>
      <c r="Q47" s="433">
        <v>0</v>
      </c>
      <c r="R47" s="340">
        <v>0</v>
      </c>
      <c r="S47" s="463">
        <v>0</v>
      </c>
      <c r="T47" s="42">
        <v>0</v>
      </c>
      <c r="U47" s="433">
        <v>0</v>
      </c>
      <c r="V47" s="340">
        <v>0</v>
      </c>
      <c r="W47" s="463">
        <v>0</v>
      </c>
      <c r="X47" s="42"/>
      <c r="Y47" s="433"/>
      <c r="Z47" s="55"/>
      <c r="AA47" s="243"/>
      <c r="AB47" s="243">
        <f t="shared" si="13"/>
        <v>-1150</v>
      </c>
      <c r="AC47" s="243">
        <f t="shared" si="14"/>
        <v>0</v>
      </c>
      <c r="AD47" s="243">
        <f t="shared" si="15"/>
        <v>0</v>
      </c>
      <c r="AE47" s="243">
        <f t="shared" si="16"/>
        <v>0</v>
      </c>
      <c r="AF47" s="243">
        <f t="shared" si="17"/>
        <v>0</v>
      </c>
    </row>
    <row r="48" spans="1:32" s="2" customFormat="1" x14ac:dyDescent="0.25">
      <c r="A48" s="18" t="s">
        <v>216</v>
      </c>
      <c r="B48" s="319"/>
      <c r="C48" s="449"/>
      <c r="D48" s="42"/>
      <c r="E48" s="433"/>
      <c r="F48" s="340"/>
      <c r="G48" s="463"/>
      <c r="H48" s="42"/>
      <c r="I48" s="433">
        <v>144</v>
      </c>
      <c r="J48" s="340">
        <v>0</v>
      </c>
      <c r="K48" s="463">
        <v>0</v>
      </c>
      <c r="L48" s="42">
        <v>0</v>
      </c>
      <c r="M48" s="433">
        <v>0</v>
      </c>
      <c r="N48" s="340">
        <v>0</v>
      </c>
      <c r="O48" s="463">
        <v>0</v>
      </c>
      <c r="P48" s="42">
        <v>0</v>
      </c>
      <c r="Q48" s="433">
        <v>0</v>
      </c>
      <c r="R48" s="340">
        <v>0</v>
      </c>
      <c r="S48" s="463">
        <v>0</v>
      </c>
      <c r="T48" s="42">
        <v>0</v>
      </c>
      <c r="U48" s="433">
        <v>0</v>
      </c>
      <c r="V48" s="340">
        <v>0</v>
      </c>
      <c r="W48" s="463">
        <v>0</v>
      </c>
      <c r="X48" s="42"/>
      <c r="Y48" s="433"/>
      <c r="Z48" s="55"/>
      <c r="AA48" s="243"/>
      <c r="AB48" s="243">
        <f t="shared" si="13"/>
        <v>144</v>
      </c>
      <c r="AC48" s="243">
        <f t="shared" si="14"/>
        <v>0</v>
      </c>
      <c r="AD48" s="243">
        <f t="shared" si="15"/>
        <v>0</v>
      </c>
      <c r="AE48" s="243">
        <f t="shared" si="16"/>
        <v>0</v>
      </c>
      <c r="AF48" s="243">
        <f t="shared" si="17"/>
        <v>0</v>
      </c>
    </row>
    <row r="49" spans="1:32" s="2" customFormat="1" x14ac:dyDescent="0.25">
      <c r="A49" s="18" t="s">
        <v>217</v>
      </c>
      <c r="B49" s="319"/>
      <c r="C49" s="449"/>
      <c r="D49" s="42"/>
      <c r="E49" s="433"/>
      <c r="F49" s="340"/>
      <c r="G49" s="463"/>
      <c r="H49" s="42">
        <v>-1</v>
      </c>
      <c r="I49" s="433">
        <v>-144</v>
      </c>
      <c r="J49" s="340">
        <v>0</v>
      </c>
      <c r="K49" s="463">
        <v>0</v>
      </c>
      <c r="L49" s="42">
        <v>0</v>
      </c>
      <c r="M49" s="433">
        <v>0</v>
      </c>
      <c r="N49" s="340">
        <v>0</v>
      </c>
      <c r="O49" s="463">
        <v>0</v>
      </c>
      <c r="P49" s="42">
        <v>0</v>
      </c>
      <c r="Q49" s="433">
        <v>0</v>
      </c>
      <c r="R49" s="340">
        <v>0</v>
      </c>
      <c r="S49" s="463">
        <v>0</v>
      </c>
      <c r="T49" s="42">
        <v>0</v>
      </c>
      <c r="U49" s="433">
        <v>0</v>
      </c>
      <c r="V49" s="340">
        <v>0</v>
      </c>
      <c r="W49" s="463">
        <v>0</v>
      </c>
      <c r="X49" s="42"/>
      <c r="Y49" s="433"/>
      <c r="Z49" s="55"/>
      <c r="AA49" s="243"/>
      <c r="AB49" s="243">
        <f t="shared" si="13"/>
        <v>-145</v>
      </c>
      <c r="AC49" s="243">
        <f t="shared" si="14"/>
        <v>0</v>
      </c>
      <c r="AD49" s="243">
        <f t="shared" si="15"/>
        <v>0</v>
      </c>
      <c r="AE49" s="243">
        <f t="shared" si="16"/>
        <v>0</v>
      </c>
      <c r="AF49" s="243">
        <f t="shared" si="17"/>
        <v>0</v>
      </c>
    </row>
    <row r="50" spans="1:32" s="2" customFormat="1" x14ac:dyDescent="0.25">
      <c r="A50" s="18" t="s">
        <v>206</v>
      </c>
      <c r="B50" s="319"/>
      <c r="C50" s="449"/>
      <c r="D50" s="42"/>
      <c r="E50" s="433">
        <v>-1000</v>
      </c>
      <c r="F50" s="340">
        <v>0</v>
      </c>
      <c r="G50" s="463">
        <v>0</v>
      </c>
      <c r="H50" s="42">
        <v>0</v>
      </c>
      <c r="I50" s="433">
        <v>0</v>
      </c>
      <c r="J50" s="340">
        <v>0</v>
      </c>
      <c r="K50" s="463">
        <v>0</v>
      </c>
      <c r="L50" s="42">
        <v>0</v>
      </c>
      <c r="M50" s="433">
        <v>0</v>
      </c>
      <c r="N50" s="340">
        <v>0</v>
      </c>
      <c r="O50" s="463">
        <v>0</v>
      </c>
      <c r="P50" s="42">
        <v>0</v>
      </c>
      <c r="Q50" s="433">
        <v>0</v>
      </c>
      <c r="R50" s="340">
        <v>0</v>
      </c>
      <c r="S50" s="463">
        <v>0</v>
      </c>
      <c r="T50" s="42">
        <v>0</v>
      </c>
      <c r="U50" s="433">
        <v>0</v>
      </c>
      <c r="V50" s="340">
        <v>0</v>
      </c>
      <c r="W50" s="463">
        <v>0</v>
      </c>
      <c r="X50" s="42"/>
      <c r="Y50" s="433"/>
      <c r="Z50" s="55"/>
      <c r="AA50" s="243">
        <v>-1000</v>
      </c>
      <c r="AB50" s="243">
        <f t="shared" si="13"/>
        <v>0</v>
      </c>
      <c r="AC50" s="243">
        <f t="shared" si="14"/>
        <v>0</v>
      </c>
      <c r="AD50" s="243">
        <f t="shared" si="15"/>
        <v>0</v>
      </c>
      <c r="AE50" s="243">
        <f t="shared" si="16"/>
        <v>0</v>
      </c>
      <c r="AF50" s="243">
        <f t="shared" si="17"/>
        <v>0</v>
      </c>
    </row>
    <row r="51" spans="1:32" s="2" customFormat="1" x14ac:dyDescent="0.25">
      <c r="A51" s="18" t="s">
        <v>207</v>
      </c>
      <c r="B51" s="319" t="s">
        <v>97</v>
      </c>
      <c r="C51" s="449" t="s">
        <v>97</v>
      </c>
      <c r="D51" s="42">
        <v>1000</v>
      </c>
      <c r="E51" s="433">
        <v>0</v>
      </c>
      <c r="F51" s="340">
        <v>0</v>
      </c>
      <c r="G51" s="463">
        <v>0</v>
      </c>
      <c r="H51" s="42">
        <v>0</v>
      </c>
      <c r="I51" s="433">
        <v>0</v>
      </c>
      <c r="J51" s="340">
        <v>0</v>
      </c>
      <c r="K51" s="463">
        <v>0</v>
      </c>
      <c r="L51" s="42">
        <v>0</v>
      </c>
      <c r="M51" s="433">
        <v>0</v>
      </c>
      <c r="N51" s="340">
        <v>0</v>
      </c>
      <c r="O51" s="463">
        <v>0</v>
      </c>
      <c r="P51" s="42">
        <v>0</v>
      </c>
      <c r="Q51" s="433">
        <v>0</v>
      </c>
      <c r="R51" s="340">
        <v>0</v>
      </c>
      <c r="S51" s="463">
        <v>0</v>
      </c>
      <c r="T51" s="42">
        <v>0</v>
      </c>
      <c r="U51" s="433">
        <v>0</v>
      </c>
      <c r="V51" s="340">
        <v>0</v>
      </c>
      <c r="W51" s="463">
        <v>0</v>
      </c>
      <c r="X51" s="42"/>
      <c r="Y51" s="433"/>
      <c r="Z51" s="55"/>
      <c r="AA51" s="243">
        <v>1000</v>
      </c>
      <c r="AB51" s="243">
        <f t="shared" si="13"/>
        <v>0</v>
      </c>
      <c r="AC51" s="243">
        <f t="shared" si="14"/>
        <v>0</v>
      </c>
      <c r="AD51" s="243">
        <f t="shared" si="15"/>
        <v>0</v>
      </c>
      <c r="AE51" s="243">
        <f t="shared" si="16"/>
        <v>0</v>
      </c>
      <c r="AF51" s="243">
        <f t="shared" si="17"/>
        <v>0</v>
      </c>
    </row>
    <row r="52" spans="1:32" s="2" customFormat="1" hidden="1" x14ac:dyDescent="0.25">
      <c r="A52" s="18" t="s">
        <v>75</v>
      </c>
      <c r="B52" s="340">
        <v>0</v>
      </c>
      <c r="C52" s="302" t="s">
        <v>97</v>
      </c>
      <c r="D52" s="42">
        <v>0</v>
      </c>
      <c r="E52" s="304">
        <v>0</v>
      </c>
      <c r="F52" s="340">
        <v>0</v>
      </c>
      <c r="G52" s="463">
        <v>0</v>
      </c>
      <c r="H52" s="42">
        <v>0</v>
      </c>
      <c r="I52" s="304">
        <v>0</v>
      </c>
      <c r="J52" s="340">
        <v>0</v>
      </c>
      <c r="K52" s="463">
        <v>0</v>
      </c>
      <c r="L52" s="42">
        <v>0</v>
      </c>
      <c r="M52" s="304">
        <v>0</v>
      </c>
      <c r="N52" s="340">
        <v>0</v>
      </c>
      <c r="O52" s="463">
        <v>0</v>
      </c>
      <c r="P52" s="42">
        <v>0</v>
      </c>
      <c r="Q52" s="304">
        <v>0</v>
      </c>
      <c r="R52" s="340"/>
      <c r="S52" s="463">
        <v>0</v>
      </c>
      <c r="T52" s="42">
        <v>0</v>
      </c>
      <c r="U52" s="304">
        <v>0</v>
      </c>
      <c r="V52" s="340">
        <v>0</v>
      </c>
      <c r="W52" s="463"/>
      <c r="X52" s="42"/>
      <c r="Y52" s="304"/>
      <c r="Z52" s="55"/>
      <c r="AA52" s="243" t="s">
        <v>97</v>
      </c>
      <c r="AB52" s="243">
        <f t="shared" si="13"/>
        <v>0</v>
      </c>
      <c r="AC52" s="243">
        <f t="shared" si="14"/>
        <v>0</v>
      </c>
      <c r="AD52" s="243">
        <f t="shared" si="15"/>
        <v>0</v>
      </c>
      <c r="AE52" s="243">
        <f t="shared" si="16"/>
        <v>0</v>
      </c>
      <c r="AF52" s="243">
        <f t="shared" si="17"/>
        <v>0</v>
      </c>
    </row>
    <row r="53" spans="1:32" s="2" customFormat="1" hidden="1" x14ac:dyDescent="0.25">
      <c r="A53" s="18" t="s">
        <v>76</v>
      </c>
      <c r="B53" s="328">
        <v>0</v>
      </c>
      <c r="C53" s="301" t="s">
        <v>97</v>
      </c>
      <c r="D53" s="42">
        <v>0</v>
      </c>
      <c r="E53" s="212">
        <v>0</v>
      </c>
      <c r="F53" s="328">
        <v>0</v>
      </c>
      <c r="G53" s="463">
        <v>0</v>
      </c>
      <c r="H53" s="42">
        <v>0</v>
      </c>
      <c r="I53" s="212">
        <v>0</v>
      </c>
      <c r="J53" s="340">
        <v>0</v>
      </c>
      <c r="K53" s="463">
        <v>0</v>
      </c>
      <c r="L53" s="42">
        <v>0</v>
      </c>
      <c r="M53" s="212">
        <v>0</v>
      </c>
      <c r="N53" s="340">
        <v>0</v>
      </c>
      <c r="O53" s="463">
        <v>0</v>
      </c>
      <c r="P53" s="42">
        <v>0</v>
      </c>
      <c r="Q53" s="212">
        <v>0</v>
      </c>
      <c r="R53" s="340">
        <v>0</v>
      </c>
      <c r="S53" s="463">
        <v>0</v>
      </c>
      <c r="T53" s="42">
        <v>0</v>
      </c>
      <c r="U53" s="212">
        <v>0</v>
      </c>
      <c r="V53" s="340">
        <v>0</v>
      </c>
      <c r="W53" s="463"/>
      <c r="X53" s="42"/>
      <c r="Y53" s="212"/>
      <c r="AA53" s="488" t="s">
        <v>97</v>
      </c>
      <c r="AB53" s="488">
        <f t="shared" si="13"/>
        <v>0</v>
      </c>
      <c r="AC53" s="488">
        <f t="shared" si="14"/>
        <v>0</v>
      </c>
      <c r="AD53" s="488">
        <f t="shared" si="15"/>
        <v>0</v>
      </c>
      <c r="AE53" s="488">
        <f t="shared" si="16"/>
        <v>0</v>
      </c>
      <c r="AF53" s="488">
        <f t="shared" si="17"/>
        <v>0</v>
      </c>
    </row>
    <row r="54" spans="1:32" s="2" customFormat="1" x14ac:dyDescent="0.25">
      <c r="A54" s="18" t="s">
        <v>77</v>
      </c>
      <c r="B54" s="328">
        <v>0</v>
      </c>
      <c r="C54" s="301">
        <v>-1273</v>
      </c>
      <c r="D54" s="42">
        <v>0</v>
      </c>
      <c r="E54" s="212">
        <v>0</v>
      </c>
      <c r="F54" s="328">
        <v>0</v>
      </c>
      <c r="G54" s="301">
        <v>-553</v>
      </c>
      <c r="H54" s="42">
        <v>-47</v>
      </c>
      <c r="I54" s="212">
        <v>0</v>
      </c>
      <c r="J54" s="340">
        <v>0</v>
      </c>
      <c r="K54" s="463">
        <v>0</v>
      </c>
      <c r="L54" s="42">
        <v>0</v>
      </c>
      <c r="M54" s="212">
        <v>-1809</v>
      </c>
      <c r="N54" s="340">
        <v>0</v>
      </c>
      <c r="O54" s="463">
        <v>0</v>
      </c>
      <c r="P54" s="42">
        <v>0</v>
      </c>
      <c r="Q54" s="212">
        <v>-1021</v>
      </c>
      <c r="R54" s="340">
        <v>0</v>
      </c>
      <c r="S54" s="463">
        <v>-917</v>
      </c>
      <c r="T54" s="42">
        <v>0</v>
      </c>
      <c r="U54" s="212">
        <v>0</v>
      </c>
      <c r="V54" s="340">
        <v>0</v>
      </c>
      <c r="W54" s="463">
        <v>0</v>
      </c>
      <c r="X54" s="42"/>
      <c r="Y54" s="212"/>
      <c r="AA54" s="230">
        <v>-1273</v>
      </c>
      <c r="AB54" s="230">
        <f t="shared" si="13"/>
        <v>-600</v>
      </c>
      <c r="AC54" s="230">
        <f t="shared" si="14"/>
        <v>-1809</v>
      </c>
      <c r="AD54" s="230">
        <f t="shared" si="15"/>
        <v>-1021</v>
      </c>
      <c r="AE54" s="230">
        <f t="shared" si="16"/>
        <v>-917</v>
      </c>
      <c r="AF54" s="230">
        <f t="shared" si="17"/>
        <v>0</v>
      </c>
    </row>
    <row r="55" spans="1:32" s="2" customFormat="1" ht="13.75" customHeight="1" x14ac:dyDescent="0.25">
      <c r="A55" s="18" t="s">
        <v>78</v>
      </c>
      <c r="B55" s="313" t="s">
        <v>97</v>
      </c>
      <c r="C55" s="301">
        <v>-1</v>
      </c>
      <c r="D55" s="45" t="s">
        <v>97</v>
      </c>
      <c r="E55" s="212">
        <v>0</v>
      </c>
      <c r="F55" s="340">
        <v>0</v>
      </c>
      <c r="G55" s="463">
        <v>0</v>
      </c>
      <c r="H55" s="42">
        <v>0</v>
      </c>
      <c r="I55" s="212">
        <v>0</v>
      </c>
      <c r="J55" s="340">
        <v>0</v>
      </c>
      <c r="K55" s="463">
        <v>0</v>
      </c>
      <c r="L55" s="42">
        <v>0</v>
      </c>
      <c r="M55" s="212">
        <v>0</v>
      </c>
      <c r="N55" s="340">
        <v>0</v>
      </c>
      <c r="O55" s="463">
        <v>0</v>
      </c>
      <c r="P55" s="42">
        <v>0</v>
      </c>
      <c r="Q55" s="212">
        <v>0</v>
      </c>
      <c r="R55" s="340">
        <v>0</v>
      </c>
      <c r="S55" s="463">
        <v>0</v>
      </c>
      <c r="T55" s="42">
        <v>0</v>
      </c>
      <c r="U55" s="212">
        <v>0</v>
      </c>
      <c r="V55" s="340">
        <v>0</v>
      </c>
      <c r="W55" s="463">
        <v>0</v>
      </c>
      <c r="X55" s="42"/>
      <c r="Y55" s="212"/>
      <c r="AA55" s="230">
        <v>-1</v>
      </c>
      <c r="AB55" s="230">
        <f t="shared" si="13"/>
        <v>0</v>
      </c>
      <c r="AC55" s="230">
        <f t="shared" si="14"/>
        <v>0</v>
      </c>
      <c r="AD55" s="230">
        <f t="shared" si="15"/>
        <v>0</v>
      </c>
      <c r="AE55" s="230">
        <f t="shared" si="16"/>
        <v>0</v>
      </c>
      <c r="AF55" s="230">
        <f t="shared" si="17"/>
        <v>0</v>
      </c>
    </row>
    <row r="56" spans="1:32" s="2" customFormat="1" x14ac:dyDescent="0.25">
      <c r="A56" s="69" t="s">
        <v>156</v>
      </c>
      <c r="B56" s="340">
        <v>0</v>
      </c>
      <c r="C56" s="302" t="s">
        <v>97</v>
      </c>
      <c r="D56" s="42">
        <v>0</v>
      </c>
      <c r="E56" s="304">
        <v>1997</v>
      </c>
      <c r="F56" s="340">
        <v>0</v>
      </c>
      <c r="G56" s="463">
        <v>1750</v>
      </c>
      <c r="H56" s="42">
        <v>0</v>
      </c>
      <c r="I56" s="304">
        <v>0</v>
      </c>
      <c r="J56" s="340">
        <v>0</v>
      </c>
      <c r="K56" s="463">
        <v>2000</v>
      </c>
      <c r="L56" s="42">
        <v>0</v>
      </c>
      <c r="M56" s="304">
        <v>0</v>
      </c>
      <c r="N56" s="340">
        <v>0</v>
      </c>
      <c r="O56" s="463">
        <v>2000</v>
      </c>
      <c r="P56" s="42">
        <v>0</v>
      </c>
      <c r="Q56" s="304">
        <v>2000</v>
      </c>
      <c r="R56" s="340">
        <v>0</v>
      </c>
      <c r="S56" s="463">
        <v>1496</v>
      </c>
      <c r="T56" s="42">
        <v>0</v>
      </c>
      <c r="U56" s="304">
        <v>0</v>
      </c>
      <c r="V56" s="340">
        <v>0</v>
      </c>
      <c r="W56" s="463">
        <v>0</v>
      </c>
      <c r="X56" s="42"/>
      <c r="Y56" s="304"/>
      <c r="Z56" s="55"/>
      <c r="AA56" s="488">
        <v>1997</v>
      </c>
      <c r="AB56" s="488">
        <f t="shared" si="13"/>
        <v>1750</v>
      </c>
      <c r="AC56" s="488">
        <f t="shared" si="14"/>
        <v>2000</v>
      </c>
      <c r="AD56" s="488">
        <f t="shared" si="15"/>
        <v>4000</v>
      </c>
      <c r="AE56" s="488">
        <f t="shared" si="16"/>
        <v>1496</v>
      </c>
      <c r="AF56" s="488">
        <f t="shared" si="17"/>
        <v>0</v>
      </c>
    </row>
    <row r="57" spans="1:32" s="2" customFormat="1" x14ac:dyDescent="0.25">
      <c r="A57" s="69" t="s">
        <v>157</v>
      </c>
      <c r="B57" s="340">
        <v>0</v>
      </c>
      <c r="C57" s="302" t="s">
        <v>97</v>
      </c>
      <c r="D57" s="42">
        <v>-11</v>
      </c>
      <c r="E57" s="304">
        <v>-12</v>
      </c>
      <c r="F57" s="340">
        <v>0</v>
      </c>
      <c r="G57" s="302">
        <v>-23</v>
      </c>
      <c r="H57" s="42">
        <v>-1</v>
      </c>
      <c r="I57" s="304">
        <v>0</v>
      </c>
      <c r="J57" s="340">
        <v>0</v>
      </c>
      <c r="K57" s="302">
        <v>-15</v>
      </c>
      <c r="L57" s="42">
        <v>0</v>
      </c>
      <c r="M57" s="304">
        <v>0</v>
      </c>
      <c r="N57" s="340">
        <v>0</v>
      </c>
      <c r="O57" s="302">
        <v>-22</v>
      </c>
      <c r="P57" s="42">
        <v>0</v>
      </c>
      <c r="Q57" s="304">
        <v>-25</v>
      </c>
      <c r="R57" s="340">
        <v>-1</v>
      </c>
      <c r="S57" s="302">
        <v>-12</v>
      </c>
      <c r="T57" s="42">
        <v>0</v>
      </c>
      <c r="U57" s="304">
        <v>-1</v>
      </c>
      <c r="V57" s="340">
        <v>0</v>
      </c>
      <c r="W57" s="463">
        <v>0</v>
      </c>
      <c r="X57" s="42"/>
      <c r="Y57" s="304"/>
      <c r="Z57" s="55"/>
      <c r="AA57" s="488">
        <v>-23</v>
      </c>
      <c r="AB57" s="488">
        <f t="shared" si="13"/>
        <v>-24</v>
      </c>
      <c r="AC57" s="488">
        <f t="shared" si="14"/>
        <v>-15</v>
      </c>
      <c r="AD57" s="488">
        <f t="shared" si="15"/>
        <v>-47</v>
      </c>
      <c r="AE57" s="488">
        <f t="shared" si="16"/>
        <v>-14</v>
      </c>
      <c r="AF57" s="488">
        <f t="shared" si="17"/>
        <v>0</v>
      </c>
    </row>
    <row r="58" spans="1:32" s="2" customFormat="1" x14ac:dyDescent="0.25">
      <c r="A58" s="69" t="s">
        <v>201</v>
      </c>
      <c r="B58" s="342"/>
      <c r="C58" s="457"/>
      <c r="D58" s="42"/>
      <c r="E58" s="488">
        <v>-60</v>
      </c>
      <c r="F58" s="342">
        <v>0</v>
      </c>
      <c r="G58" s="463">
        <v>0</v>
      </c>
      <c r="H58" s="42">
        <v>0</v>
      </c>
      <c r="I58" s="488">
        <v>0</v>
      </c>
      <c r="J58" s="340">
        <v>0</v>
      </c>
      <c r="K58" s="463">
        <v>0</v>
      </c>
      <c r="L58" s="42">
        <v>0</v>
      </c>
      <c r="M58" s="488">
        <v>0</v>
      </c>
      <c r="N58" s="340">
        <v>0</v>
      </c>
      <c r="O58" s="463">
        <v>0</v>
      </c>
      <c r="P58" s="42">
        <v>0</v>
      </c>
      <c r="Q58" s="488">
        <v>0</v>
      </c>
      <c r="R58" s="340">
        <v>0</v>
      </c>
      <c r="S58" s="463">
        <v>0</v>
      </c>
      <c r="T58" s="42">
        <v>0</v>
      </c>
      <c r="U58" s="488">
        <v>0</v>
      </c>
      <c r="V58" s="340">
        <v>0</v>
      </c>
      <c r="W58" s="463">
        <v>0</v>
      </c>
      <c r="X58" s="42"/>
      <c r="Y58" s="488"/>
      <c r="Z58" s="55"/>
      <c r="AA58" s="488">
        <v>-60</v>
      </c>
      <c r="AB58" s="488">
        <f t="shared" si="13"/>
        <v>0</v>
      </c>
      <c r="AC58" s="488">
        <f t="shared" si="14"/>
        <v>0</v>
      </c>
      <c r="AD58" s="488">
        <f t="shared" si="15"/>
        <v>0</v>
      </c>
      <c r="AE58" s="488">
        <f t="shared" si="16"/>
        <v>0</v>
      </c>
      <c r="AF58" s="488">
        <f t="shared" si="17"/>
        <v>0</v>
      </c>
    </row>
    <row r="59" spans="1:32" s="115" customFormat="1" ht="13.75" customHeight="1" x14ac:dyDescent="0.25">
      <c r="A59" s="512" t="s">
        <v>319</v>
      </c>
      <c r="B59" s="341">
        <v>0</v>
      </c>
      <c r="C59" s="458" t="s">
        <v>97</v>
      </c>
      <c r="D59" s="116">
        <v>-54</v>
      </c>
      <c r="E59" s="434">
        <v>0</v>
      </c>
      <c r="F59" s="341">
        <v>0</v>
      </c>
      <c r="G59" s="463">
        <v>0</v>
      </c>
      <c r="H59" s="42">
        <v>0</v>
      </c>
      <c r="I59" s="434">
        <v>0</v>
      </c>
      <c r="J59" s="340">
        <v>0</v>
      </c>
      <c r="K59" s="463">
        <v>0</v>
      </c>
      <c r="L59" s="42">
        <v>-34</v>
      </c>
      <c r="M59" s="434">
        <v>-1</v>
      </c>
      <c r="N59" s="340">
        <v>0</v>
      </c>
      <c r="O59" s="463">
        <v>0</v>
      </c>
      <c r="P59" s="42">
        <v>0</v>
      </c>
      <c r="Q59" s="434">
        <v>0</v>
      </c>
      <c r="R59" s="340">
        <v>0</v>
      </c>
      <c r="S59" s="463">
        <v>0</v>
      </c>
      <c r="T59" s="42">
        <v>0</v>
      </c>
      <c r="U59" s="434">
        <v>0</v>
      </c>
      <c r="V59" s="340">
        <v>0</v>
      </c>
      <c r="W59" s="463">
        <v>0</v>
      </c>
      <c r="X59" s="42"/>
      <c r="Y59" s="434"/>
      <c r="Z59" s="117"/>
      <c r="AA59" s="490">
        <v>-54</v>
      </c>
      <c r="AB59" s="490">
        <f t="shared" si="13"/>
        <v>0</v>
      </c>
      <c r="AC59" s="490">
        <f t="shared" si="14"/>
        <v>-35</v>
      </c>
      <c r="AD59" s="490">
        <f t="shared" si="15"/>
        <v>0</v>
      </c>
      <c r="AE59" s="490">
        <f t="shared" si="16"/>
        <v>0</v>
      </c>
      <c r="AF59" s="490">
        <f t="shared" si="17"/>
        <v>0</v>
      </c>
    </row>
    <row r="60" spans="1:32" s="115" customFormat="1" ht="13.75" customHeight="1" x14ac:dyDescent="0.25">
      <c r="A60" s="69" t="s">
        <v>202</v>
      </c>
      <c r="B60" s="341"/>
      <c r="C60" s="458"/>
      <c r="D60" s="116"/>
      <c r="E60" s="434">
        <v>-74</v>
      </c>
      <c r="F60" s="341">
        <v>-73</v>
      </c>
      <c r="G60" s="458">
        <v>-71</v>
      </c>
      <c r="H60" s="116">
        <v>-70</v>
      </c>
      <c r="I60" s="434">
        <v>-105</v>
      </c>
      <c r="J60" s="341">
        <v>-105</v>
      </c>
      <c r="K60" s="458">
        <v>-105</v>
      </c>
      <c r="L60" s="116">
        <v>-105</v>
      </c>
      <c r="M60" s="434">
        <v>-105</v>
      </c>
      <c r="N60" s="341">
        <v>-105</v>
      </c>
      <c r="O60" s="458">
        <v>-155</v>
      </c>
      <c r="P60" s="116">
        <v>-152</v>
      </c>
      <c r="Q60" s="434">
        <v>-150</v>
      </c>
      <c r="R60" s="341">
        <v>-149</v>
      </c>
      <c r="S60" s="458">
        <v>-222</v>
      </c>
      <c r="T60" s="116">
        <v>-223</v>
      </c>
      <c r="U60" s="434">
        <v>-221</v>
      </c>
      <c r="V60" s="341">
        <v>-219</v>
      </c>
      <c r="W60" s="458">
        <v>-264</v>
      </c>
      <c r="X60" s="116"/>
      <c r="Y60" s="434"/>
      <c r="Z60" s="117"/>
      <c r="AA60" s="490">
        <v>-74</v>
      </c>
      <c r="AB60" s="490">
        <f t="shared" si="13"/>
        <v>-319</v>
      </c>
      <c r="AC60" s="490">
        <f t="shared" si="14"/>
        <v>-420</v>
      </c>
      <c r="AD60" s="490">
        <f t="shared" si="15"/>
        <v>-562</v>
      </c>
      <c r="AE60" s="490">
        <f t="shared" si="16"/>
        <v>-815</v>
      </c>
      <c r="AF60" s="490">
        <f t="shared" si="17"/>
        <v>-483</v>
      </c>
    </row>
    <row r="61" spans="1:32" s="115" customFormat="1" ht="13.75" hidden="1" customHeight="1" x14ac:dyDescent="0.25">
      <c r="A61" s="69" t="s">
        <v>147</v>
      </c>
      <c r="B61" s="340">
        <v>0</v>
      </c>
      <c r="C61" s="302" t="s">
        <v>97</v>
      </c>
      <c r="D61" s="42">
        <v>0</v>
      </c>
      <c r="E61" s="304">
        <v>0</v>
      </c>
      <c r="F61" s="340">
        <v>0</v>
      </c>
      <c r="G61" s="463">
        <v>0</v>
      </c>
      <c r="H61" s="42">
        <v>0</v>
      </c>
      <c r="I61" s="304">
        <v>0</v>
      </c>
      <c r="J61" s="340">
        <v>0</v>
      </c>
      <c r="K61" s="463">
        <v>0</v>
      </c>
      <c r="L61" s="42">
        <v>0</v>
      </c>
      <c r="M61" s="304">
        <v>0</v>
      </c>
      <c r="N61" s="340">
        <v>0</v>
      </c>
      <c r="O61" s="463">
        <v>0</v>
      </c>
      <c r="P61" s="42">
        <v>0</v>
      </c>
      <c r="Q61" s="304">
        <v>0</v>
      </c>
      <c r="R61" s="340">
        <v>0</v>
      </c>
      <c r="S61" s="463">
        <v>0</v>
      </c>
      <c r="T61" s="42">
        <v>0</v>
      </c>
      <c r="U61" s="304">
        <v>0</v>
      </c>
      <c r="V61" s="340">
        <v>0</v>
      </c>
      <c r="W61" s="463"/>
      <c r="X61" s="42"/>
      <c r="Y61" s="304"/>
      <c r="Z61" s="117"/>
      <c r="AA61" s="488" t="s">
        <v>97</v>
      </c>
      <c r="AB61" s="488">
        <f t="shared" si="13"/>
        <v>0</v>
      </c>
      <c r="AC61" s="488">
        <f t="shared" si="14"/>
        <v>0</v>
      </c>
      <c r="AD61" s="488">
        <f t="shared" si="15"/>
        <v>0</v>
      </c>
      <c r="AE61" s="488">
        <f t="shared" si="16"/>
        <v>0</v>
      </c>
      <c r="AF61" s="488">
        <f t="shared" si="17"/>
        <v>0</v>
      </c>
    </row>
    <row r="62" spans="1:32" s="2" customFormat="1" hidden="1" x14ac:dyDescent="0.25">
      <c r="A62" s="69" t="s">
        <v>79</v>
      </c>
      <c r="B62" s="340">
        <v>0</v>
      </c>
      <c r="C62" s="302" t="s">
        <v>97</v>
      </c>
      <c r="D62" s="42">
        <v>0</v>
      </c>
      <c r="E62" s="304">
        <v>0</v>
      </c>
      <c r="F62" s="340">
        <v>0</v>
      </c>
      <c r="G62" s="463">
        <v>0</v>
      </c>
      <c r="H62" s="42">
        <v>0</v>
      </c>
      <c r="I62" s="304">
        <v>0</v>
      </c>
      <c r="J62" s="340">
        <v>0</v>
      </c>
      <c r="K62" s="463">
        <v>0</v>
      </c>
      <c r="L62" s="42">
        <v>0</v>
      </c>
      <c r="M62" s="304">
        <v>0</v>
      </c>
      <c r="N62" s="340">
        <v>0</v>
      </c>
      <c r="O62" s="463">
        <v>0</v>
      </c>
      <c r="P62" s="42">
        <v>0</v>
      </c>
      <c r="Q62" s="304">
        <v>0</v>
      </c>
      <c r="R62" s="340">
        <v>0</v>
      </c>
      <c r="S62" s="463">
        <v>0</v>
      </c>
      <c r="T62" s="42">
        <v>0</v>
      </c>
      <c r="U62" s="304">
        <v>0</v>
      </c>
      <c r="V62" s="340">
        <v>0</v>
      </c>
      <c r="W62" s="463"/>
      <c r="X62" s="42"/>
      <c r="Y62" s="304"/>
      <c r="Z62" s="55"/>
      <c r="AA62" s="488" t="s">
        <v>97</v>
      </c>
      <c r="AB62" s="488">
        <f t="shared" si="13"/>
        <v>0</v>
      </c>
      <c r="AC62" s="488">
        <f t="shared" si="14"/>
        <v>0</v>
      </c>
      <c r="AD62" s="488">
        <f t="shared" si="15"/>
        <v>0</v>
      </c>
      <c r="AE62" s="488">
        <f t="shared" si="16"/>
        <v>0</v>
      </c>
      <c r="AF62" s="488">
        <f t="shared" si="17"/>
        <v>0</v>
      </c>
    </row>
    <row r="63" spans="1:32" s="2" customFormat="1" x14ac:dyDescent="0.25">
      <c r="A63" s="69" t="s">
        <v>209</v>
      </c>
      <c r="B63" s="315">
        <v>20</v>
      </c>
      <c r="C63" s="302">
        <v>10</v>
      </c>
      <c r="D63" s="75">
        <v>6</v>
      </c>
      <c r="E63" s="304">
        <v>3</v>
      </c>
      <c r="F63" s="315">
        <v>32</v>
      </c>
      <c r="G63" s="302">
        <v>5</v>
      </c>
      <c r="H63" s="75">
        <v>33</v>
      </c>
      <c r="I63" s="304">
        <v>14</v>
      </c>
      <c r="J63" s="315">
        <v>29</v>
      </c>
      <c r="K63" s="302">
        <v>8</v>
      </c>
      <c r="L63" s="75">
        <v>27</v>
      </c>
      <c r="M63" s="304">
        <v>8</v>
      </c>
      <c r="N63" s="315">
        <v>31</v>
      </c>
      <c r="O63" s="463">
        <v>0</v>
      </c>
      <c r="P63" s="75">
        <v>29</v>
      </c>
      <c r="Q63" s="304">
        <v>2</v>
      </c>
      <c r="R63" s="315">
        <v>28</v>
      </c>
      <c r="S63" s="463">
        <v>0</v>
      </c>
      <c r="T63" s="75">
        <v>30</v>
      </c>
      <c r="U63" s="304">
        <v>1</v>
      </c>
      <c r="V63" s="315">
        <v>33</v>
      </c>
      <c r="W63" s="463">
        <v>1</v>
      </c>
      <c r="X63" s="75"/>
      <c r="Y63" s="304"/>
      <c r="Z63" s="55"/>
      <c r="AA63" s="243">
        <v>39</v>
      </c>
      <c r="AB63" s="243">
        <f t="shared" si="13"/>
        <v>84</v>
      </c>
      <c r="AC63" s="243">
        <f t="shared" si="14"/>
        <v>72</v>
      </c>
      <c r="AD63" s="243">
        <f t="shared" si="15"/>
        <v>62</v>
      </c>
      <c r="AE63" s="243">
        <f t="shared" si="16"/>
        <v>59</v>
      </c>
      <c r="AF63" s="243">
        <f t="shared" si="17"/>
        <v>34</v>
      </c>
    </row>
    <row r="64" spans="1:32" s="2" customFormat="1" x14ac:dyDescent="0.25">
      <c r="A64" s="18" t="s">
        <v>204</v>
      </c>
      <c r="B64" s="315">
        <v>-30</v>
      </c>
      <c r="C64" s="302">
        <v>-2</v>
      </c>
      <c r="D64" s="75">
        <v>-4550</v>
      </c>
      <c r="E64" s="304">
        <v>-424</v>
      </c>
      <c r="F64" s="315">
        <v>-715</v>
      </c>
      <c r="G64" s="302">
        <v>-645</v>
      </c>
      <c r="H64" s="75">
        <v>-9</v>
      </c>
      <c r="I64" s="304">
        <v>-74</v>
      </c>
      <c r="J64" s="315">
        <v>-355</v>
      </c>
      <c r="K64" s="302">
        <v>-3</v>
      </c>
      <c r="L64" s="75">
        <v>-12</v>
      </c>
      <c r="M64" s="304">
        <v>-257</v>
      </c>
      <c r="N64" s="315">
        <v>-905</v>
      </c>
      <c r="O64" s="302">
        <v>-1203</v>
      </c>
      <c r="P64" s="75">
        <v>-1157</v>
      </c>
      <c r="Q64" s="304">
        <v>-750</v>
      </c>
      <c r="R64" s="315">
        <v>-552</v>
      </c>
      <c r="S64" s="302">
        <v>-2</v>
      </c>
      <c r="T64" s="75">
        <v>-366</v>
      </c>
      <c r="U64" s="304">
        <v>-506</v>
      </c>
      <c r="V64" s="315">
        <v>-11</v>
      </c>
      <c r="W64" s="302">
        <v>-302</v>
      </c>
      <c r="X64" s="75"/>
      <c r="Y64" s="304"/>
      <c r="Z64" s="55"/>
      <c r="AA64" s="243">
        <v>-5006</v>
      </c>
      <c r="AB64" s="243">
        <f t="shared" si="13"/>
        <v>-1443</v>
      </c>
      <c r="AC64" s="243">
        <f t="shared" si="14"/>
        <v>-627</v>
      </c>
      <c r="AD64" s="243">
        <f t="shared" si="15"/>
        <v>-4015</v>
      </c>
      <c r="AE64" s="243">
        <f t="shared" si="16"/>
        <v>-1426</v>
      </c>
      <c r="AF64" s="436">
        <f t="shared" si="17"/>
        <v>-313</v>
      </c>
    </row>
    <row r="65" spans="1:32" s="2" customFormat="1" x14ac:dyDescent="0.25">
      <c r="A65" s="18" t="s">
        <v>203</v>
      </c>
      <c r="B65" s="315"/>
      <c r="C65" s="302"/>
      <c r="D65" s="75"/>
      <c r="E65" s="304">
        <v>-142</v>
      </c>
      <c r="F65" s="340">
        <v>0</v>
      </c>
      <c r="G65" s="463">
        <v>0</v>
      </c>
      <c r="H65" s="42">
        <v>0</v>
      </c>
      <c r="I65" s="304">
        <v>-128</v>
      </c>
      <c r="J65" s="340">
        <v>0</v>
      </c>
      <c r="K65" s="463">
        <v>0</v>
      </c>
      <c r="L65" s="42">
        <v>0</v>
      </c>
      <c r="M65" s="304">
        <v>0</v>
      </c>
      <c r="N65" s="340">
        <v>0</v>
      </c>
      <c r="O65" s="463">
        <v>0</v>
      </c>
      <c r="P65" s="42">
        <v>0</v>
      </c>
      <c r="Q65" s="304">
        <v>0</v>
      </c>
      <c r="R65" s="340">
        <v>0</v>
      </c>
      <c r="S65" s="463">
        <v>0</v>
      </c>
      <c r="T65" s="42">
        <v>0</v>
      </c>
      <c r="U65" s="304">
        <v>0</v>
      </c>
      <c r="V65" s="340">
        <v>0</v>
      </c>
      <c r="W65" s="463">
        <v>0</v>
      </c>
      <c r="X65" s="42"/>
      <c r="Y65" s="304"/>
      <c r="Z65" s="55"/>
      <c r="AA65" s="243">
        <v>-142</v>
      </c>
      <c r="AB65" s="243">
        <f t="shared" si="13"/>
        <v>-128</v>
      </c>
      <c r="AC65" s="243">
        <f t="shared" si="14"/>
        <v>0</v>
      </c>
      <c r="AD65" s="243">
        <f t="shared" si="15"/>
        <v>0</v>
      </c>
      <c r="AE65" s="243">
        <f t="shared" si="16"/>
        <v>0</v>
      </c>
      <c r="AF65" s="436">
        <f t="shared" si="17"/>
        <v>0</v>
      </c>
    </row>
    <row r="66" spans="1:32" s="62" customFormat="1" ht="13.75" customHeight="1" x14ac:dyDescent="0.25">
      <c r="A66" s="391" t="s">
        <v>233</v>
      </c>
      <c r="B66" s="312"/>
      <c r="C66" s="296"/>
      <c r="D66" s="42"/>
      <c r="E66" s="375"/>
      <c r="F66" s="340"/>
      <c r="G66" s="550"/>
      <c r="H66" s="42"/>
      <c r="I66" s="375"/>
      <c r="J66" s="340"/>
      <c r="K66" s="550"/>
      <c r="L66" s="42"/>
      <c r="M66" s="375">
        <v>-1</v>
      </c>
      <c r="N66" s="340">
        <v>0</v>
      </c>
      <c r="O66" s="550">
        <v>-1</v>
      </c>
      <c r="P66" s="42">
        <v>0</v>
      </c>
      <c r="Q66" s="375">
        <v>-1</v>
      </c>
      <c r="R66" s="340">
        <v>0</v>
      </c>
      <c r="S66" s="550">
        <v>-1</v>
      </c>
      <c r="T66" s="42">
        <v>0</v>
      </c>
      <c r="U66" s="375">
        <v>-1</v>
      </c>
      <c r="V66" s="340">
        <v>-1</v>
      </c>
      <c r="W66" s="550">
        <v>0</v>
      </c>
      <c r="X66" s="42"/>
      <c r="Y66" s="375"/>
      <c r="AA66" s="488"/>
      <c r="AB66" s="488"/>
      <c r="AC66" s="488">
        <f t="shared" si="14"/>
        <v>-1</v>
      </c>
      <c r="AD66" s="488">
        <f t="shared" si="15"/>
        <v>-2</v>
      </c>
      <c r="AE66" s="488">
        <f t="shared" si="16"/>
        <v>-2</v>
      </c>
      <c r="AF66" s="662">
        <f t="shared" si="17"/>
        <v>-1</v>
      </c>
    </row>
    <row r="67" spans="1:32" s="2" customFormat="1" ht="13" x14ac:dyDescent="0.3">
      <c r="A67" s="34" t="s">
        <v>80</v>
      </c>
      <c r="B67" s="318">
        <v>-10</v>
      </c>
      <c r="C67" s="456">
        <v>-1266</v>
      </c>
      <c r="D67" s="100">
        <v>-3609</v>
      </c>
      <c r="E67" s="497">
        <v>288</v>
      </c>
      <c r="F67" s="318">
        <v>-756</v>
      </c>
      <c r="G67" s="456">
        <v>463</v>
      </c>
      <c r="H67" s="100">
        <v>-95</v>
      </c>
      <c r="I67" s="497">
        <v>-1443</v>
      </c>
      <c r="J67" s="318">
        <v>-431</v>
      </c>
      <c r="K67" s="456">
        <v>1885</v>
      </c>
      <c r="L67" s="100">
        <v>-124</v>
      </c>
      <c r="M67" s="497">
        <v>-2165</v>
      </c>
      <c r="N67" s="318">
        <v>-979</v>
      </c>
      <c r="O67" s="456">
        <v>619</v>
      </c>
      <c r="P67" s="100">
        <v>-1280</v>
      </c>
      <c r="Q67" s="497">
        <v>55</v>
      </c>
      <c r="R67" s="318">
        <v>-674</v>
      </c>
      <c r="S67" s="456">
        <v>342</v>
      </c>
      <c r="T67" s="100">
        <v>-559</v>
      </c>
      <c r="U67" s="497">
        <v>-728</v>
      </c>
      <c r="V67" s="318">
        <v>-198</v>
      </c>
      <c r="W67" s="456">
        <v>-565</v>
      </c>
      <c r="X67" s="100"/>
      <c r="Y67" s="497"/>
      <c r="Z67" s="55"/>
      <c r="AA67" s="491">
        <v>-4597</v>
      </c>
      <c r="AB67" s="491">
        <f>SUM(F67:I67)</f>
        <v>-1831</v>
      </c>
      <c r="AC67" s="491">
        <f t="shared" si="14"/>
        <v>-835</v>
      </c>
      <c r="AD67" s="491">
        <f t="shared" si="15"/>
        <v>-1585</v>
      </c>
      <c r="AE67" s="491">
        <f t="shared" si="16"/>
        <v>-1619</v>
      </c>
      <c r="AF67" s="491">
        <f t="shared" si="17"/>
        <v>-763</v>
      </c>
    </row>
    <row r="68" spans="1:32" s="2" customFormat="1" ht="10.15" customHeight="1" x14ac:dyDescent="0.25">
      <c r="A68" s="18"/>
      <c r="B68" s="310"/>
      <c r="C68" s="296"/>
      <c r="D68" s="47"/>
      <c r="E68" s="150"/>
      <c r="F68" s="310"/>
      <c r="G68" s="296"/>
      <c r="H68" s="47"/>
      <c r="I68" s="150"/>
      <c r="J68" s="310"/>
      <c r="K68" s="296"/>
      <c r="L68" s="47"/>
      <c r="M68" s="150"/>
      <c r="N68" s="310"/>
      <c r="O68" s="296"/>
      <c r="P68" s="47"/>
      <c r="Q68" s="150"/>
      <c r="R68" s="310"/>
      <c r="S68" s="296"/>
      <c r="T68" s="47"/>
      <c r="U68" s="150"/>
      <c r="V68" s="310"/>
      <c r="W68" s="296"/>
      <c r="X68" s="47"/>
      <c r="Y68" s="150"/>
      <c r="AA68" s="230"/>
      <c r="AB68" s="230"/>
      <c r="AC68" s="230"/>
      <c r="AD68" s="230"/>
      <c r="AE68" s="230"/>
      <c r="AF68" s="487"/>
    </row>
    <row r="69" spans="1:32" s="2" customFormat="1" ht="13" x14ac:dyDescent="0.3">
      <c r="A69" s="34" t="s">
        <v>81</v>
      </c>
      <c r="B69" s="318">
        <v>436</v>
      </c>
      <c r="C69" s="456">
        <v>-995</v>
      </c>
      <c r="D69" s="100">
        <v>-1036</v>
      </c>
      <c r="E69" s="496">
        <v>845</v>
      </c>
      <c r="F69" s="318">
        <v>-596</v>
      </c>
      <c r="G69" s="456">
        <v>836</v>
      </c>
      <c r="H69" s="100">
        <v>513</v>
      </c>
      <c r="I69" s="496">
        <v>-2495</v>
      </c>
      <c r="J69" s="318">
        <v>44</v>
      </c>
      <c r="K69" s="456">
        <v>2186</v>
      </c>
      <c r="L69" s="100">
        <v>298</v>
      </c>
      <c r="M69" s="496">
        <v>-1299</v>
      </c>
      <c r="N69" s="318">
        <v>-428</v>
      </c>
      <c r="O69" s="456">
        <v>1066</v>
      </c>
      <c r="P69" s="100">
        <v>-604</v>
      </c>
      <c r="Q69" s="496">
        <v>524</v>
      </c>
      <c r="R69" s="318">
        <v>-147</v>
      </c>
      <c r="S69" s="456">
        <v>873</v>
      </c>
      <c r="T69" s="100">
        <v>225</v>
      </c>
      <c r="U69" s="496">
        <v>76</v>
      </c>
      <c r="V69" s="318">
        <v>83</v>
      </c>
      <c r="W69" s="456">
        <v>-64</v>
      </c>
      <c r="X69" s="100"/>
      <c r="Y69" s="496"/>
      <c r="Z69" s="55"/>
      <c r="AA69" s="486">
        <v>-750</v>
      </c>
      <c r="AB69" s="486">
        <f>SUM(F69:I69)</f>
        <v>-1742</v>
      </c>
      <c r="AC69" s="486">
        <f>SUM(J69:M69)</f>
        <v>1229</v>
      </c>
      <c r="AD69" s="486">
        <f>N69+O69+P69+Q69</f>
        <v>558</v>
      </c>
      <c r="AE69" s="486">
        <f t="shared" si="16"/>
        <v>1027</v>
      </c>
      <c r="AF69" s="486">
        <f t="shared" si="17"/>
        <v>19</v>
      </c>
    </row>
    <row r="70" spans="1:32" s="2" customFormat="1" ht="13.75" hidden="1" customHeight="1" x14ac:dyDescent="0.25">
      <c r="A70" s="19" t="s">
        <v>82</v>
      </c>
      <c r="B70" s="310"/>
      <c r="C70" s="296"/>
      <c r="D70" s="47"/>
      <c r="E70" s="150"/>
      <c r="F70" s="310"/>
      <c r="G70" s="296"/>
      <c r="H70" s="47"/>
      <c r="I70" s="150"/>
      <c r="J70" s="310"/>
      <c r="K70" s="296"/>
      <c r="L70" s="47"/>
      <c r="M70" s="150"/>
      <c r="N70" s="310"/>
      <c r="O70" s="296"/>
      <c r="P70" s="47"/>
      <c r="Q70" s="150"/>
      <c r="R70" s="310"/>
      <c r="S70" s="296"/>
      <c r="T70" s="47"/>
      <c r="U70" s="150"/>
      <c r="V70" s="310"/>
      <c r="W70" s="296"/>
      <c r="X70" s="47"/>
      <c r="Y70" s="150"/>
      <c r="AA70" s="230"/>
      <c r="AB70" s="230"/>
      <c r="AC70" s="230"/>
      <c r="AD70" s="230"/>
      <c r="AE70" s="230">
        <f t="shared" si="16"/>
        <v>0</v>
      </c>
      <c r="AF70" s="230">
        <f t="shared" si="17"/>
        <v>0</v>
      </c>
    </row>
    <row r="71" spans="1:32" s="2" customFormat="1" hidden="1" x14ac:dyDescent="0.25">
      <c r="A71" s="18" t="s">
        <v>68</v>
      </c>
      <c r="B71" s="234">
        <v>0</v>
      </c>
      <c r="C71" s="459" t="s">
        <v>97</v>
      </c>
      <c r="D71" s="300" t="s">
        <v>97</v>
      </c>
      <c r="E71" s="243" t="s">
        <v>97</v>
      </c>
      <c r="F71" s="234" t="s">
        <v>97</v>
      </c>
      <c r="G71" s="463">
        <v>0</v>
      </c>
      <c r="H71" s="463">
        <v>0</v>
      </c>
      <c r="I71" s="243">
        <v>0</v>
      </c>
      <c r="J71" s="234">
        <v>0</v>
      </c>
      <c r="K71" s="463">
        <v>0</v>
      </c>
      <c r="L71" s="463">
        <v>0</v>
      </c>
      <c r="M71" s="243">
        <v>0</v>
      </c>
      <c r="N71" s="234">
        <v>0</v>
      </c>
      <c r="O71" s="463">
        <v>0</v>
      </c>
      <c r="P71" s="463">
        <v>0</v>
      </c>
      <c r="Q71" s="243">
        <v>0</v>
      </c>
      <c r="R71" s="234">
        <v>0</v>
      </c>
      <c r="S71" s="463">
        <v>0</v>
      </c>
      <c r="T71" s="463">
        <v>0</v>
      </c>
      <c r="U71" s="243">
        <v>0</v>
      </c>
      <c r="V71" s="234">
        <v>0</v>
      </c>
      <c r="W71" s="463"/>
      <c r="X71" s="463"/>
      <c r="Y71" s="243"/>
      <c r="Z71" s="55"/>
      <c r="AA71" s="243" t="s">
        <v>97</v>
      </c>
      <c r="AB71" s="243">
        <f>SUM(F71:I71)</f>
        <v>0</v>
      </c>
      <c r="AC71" s="243">
        <f t="shared" ref="AC71:AC75" si="18">SUM(J71:M71)</f>
        <v>0</v>
      </c>
      <c r="AD71" s="243">
        <f t="shared" ref="AD71:AD75" si="19">N71+O71+P71+Q71</f>
        <v>0</v>
      </c>
      <c r="AE71" s="243">
        <f t="shared" si="16"/>
        <v>0</v>
      </c>
      <c r="AF71" s="243">
        <f t="shared" si="17"/>
        <v>0</v>
      </c>
    </row>
    <row r="72" spans="1:32" s="2" customFormat="1" hidden="1" x14ac:dyDescent="0.25">
      <c r="A72" s="18" t="s">
        <v>83</v>
      </c>
      <c r="B72" s="234">
        <v>0</v>
      </c>
      <c r="C72" s="459" t="s">
        <v>97</v>
      </c>
      <c r="D72" s="300" t="s">
        <v>97</v>
      </c>
      <c r="E72" s="243" t="s">
        <v>97</v>
      </c>
      <c r="F72" s="234" t="s">
        <v>97</v>
      </c>
      <c r="G72" s="463">
        <v>0</v>
      </c>
      <c r="H72" s="463">
        <v>0</v>
      </c>
      <c r="I72" s="243">
        <v>0</v>
      </c>
      <c r="J72" s="234">
        <v>0</v>
      </c>
      <c r="K72" s="463">
        <v>0</v>
      </c>
      <c r="L72" s="463">
        <v>0</v>
      </c>
      <c r="M72" s="243">
        <v>0</v>
      </c>
      <c r="N72" s="234">
        <v>0</v>
      </c>
      <c r="O72" s="463">
        <v>0</v>
      </c>
      <c r="P72" s="463">
        <v>0</v>
      </c>
      <c r="Q72" s="243">
        <v>0</v>
      </c>
      <c r="R72" s="234">
        <v>0</v>
      </c>
      <c r="S72" s="463">
        <v>0</v>
      </c>
      <c r="T72" s="463">
        <v>0</v>
      </c>
      <c r="U72" s="243">
        <v>0</v>
      </c>
      <c r="V72" s="234">
        <v>0</v>
      </c>
      <c r="W72" s="463"/>
      <c r="X72" s="463"/>
      <c r="Y72" s="243"/>
      <c r="Z72" s="55"/>
      <c r="AA72" s="243" t="s">
        <v>97</v>
      </c>
      <c r="AB72" s="243">
        <f>SUM(F72:I72)</f>
        <v>0</v>
      </c>
      <c r="AC72" s="243">
        <f t="shared" si="18"/>
        <v>0</v>
      </c>
      <c r="AD72" s="243">
        <f t="shared" si="19"/>
        <v>0</v>
      </c>
      <c r="AE72" s="243">
        <f t="shared" si="16"/>
        <v>0</v>
      </c>
      <c r="AF72" s="243">
        <f t="shared" si="17"/>
        <v>0</v>
      </c>
    </row>
    <row r="73" spans="1:32" s="2" customFormat="1" hidden="1" x14ac:dyDescent="0.25">
      <c r="A73" s="18" t="s">
        <v>80</v>
      </c>
      <c r="B73" s="235">
        <v>0</v>
      </c>
      <c r="C73" s="459" t="s">
        <v>97</v>
      </c>
      <c r="D73" s="300" t="s">
        <v>97</v>
      </c>
      <c r="E73" s="243" t="s">
        <v>97</v>
      </c>
      <c r="F73" s="235" t="s">
        <v>97</v>
      </c>
      <c r="G73" s="463">
        <v>0</v>
      </c>
      <c r="H73" s="463">
        <v>0</v>
      </c>
      <c r="I73" s="243">
        <v>0</v>
      </c>
      <c r="J73" s="234">
        <v>0</v>
      </c>
      <c r="K73" s="463">
        <v>0</v>
      </c>
      <c r="L73" s="463">
        <v>0</v>
      </c>
      <c r="M73" s="243">
        <v>0</v>
      </c>
      <c r="N73" s="234">
        <v>0</v>
      </c>
      <c r="O73" s="463">
        <v>0</v>
      </c>
      <c r="P73" s="463">
        <v>0</v>
      </c>
      <c r="Q73" s="243">
        <v>0</v>
      </c>
      <c r="R73" s="234">
        <v>0</v>
      </c>
      <c r="S73" s="463">
        <v>0</v>
      </c>
      <c r="T73" s="463">
        <v>0</v>
      </c>
      <c r="U73" s="243">
        <v>0</v>
      </c>
      <c r="V73" s="234">
        <v>0</v>
      </c>
      <c r="W73" s="463"/>
      <c r="X73" s="463"/>
      <c r="Y73" s="243"/>
      <c r="Z73" s="55"/>
      <c r="AA73" s="243" t="s">
        <v>97</v>
      </c>
      <c r="AB73" s="243">
        <f>SUM(F73:I73)</f>
        <v>0</v>
      </c>
      <c r="AC73" s="243">
        <f t="shared" si="18"/>
        <v>0</v>
      </c>
      <c r="AD73" s="243">
        <f t="shared" si="19"/>
        <v>0</v>
      </c>
      <c r="AE73" s="243">
        <f t="shared" si="16"/>
        <v>0</v>
      </c>
      <c r="AF73" s="243">
        <f t="shared" si="17"/>
        <v>0</v>
      </c>
    </row>
    <row r="74" spans="1:32" s="2" customFormat="1" ht="13" hidden="1" x14ac:dyDescent="0.3">
      <c r="A74" s="34" t="s">
        <v>84</v>
      </c>
      <c r="B74" s="236">
        <v>0</v>
      </c>
      <c r="C74" s="460" t="s">
        <v>97</v>
      </c>
      <c r="D74" s="303" t="s">
        <v>97</v>
      </c>
      <c r="E74" s="498" t="s">
        <v>97</v>
      </c>
      <c r="F74" s="236" t="s">
        <v>97</v>
      </c>
      <c r="G74" s="463">
        <v>0</v>
      </c>
      <c r="H74" s="463">
        <v>0</v>
      </c>
      <c r="I74" s="498">
        <v>0</v>
      </c>
      <c r="J74" s="234">
        <v>0</v>
      </c>
      <c r="K74" s="463">
        <v>0</v>
      </c>
      <c r="L74" s="463">
        <v>0</v>
      </c>
      <c r="M74" s="498">
        <v>0</v>
      </c>
      <c r="N74" s="234">
        <v>0</v>
      </c>
      <c r="O74" s="463">
        <v>0</v>
      </c>
      <c r="P74" s="463">
        <v>0</v>
      </c>
      <c r="Q74" s="498">
        <v>0</v>
      </c>
      <c r="R74" s="234">
        <v>0</v>
      </c>
      <c r="S74" s="463">
        <v>0</v>
      </c>
      <c r="T74" s="463">
        <v>0</v>
      </c>
      <c r="U74" s="498">
        <v>0</v>
      </c>
      <c r="V74" s="234">
        <v>0</v>
      </c>
      <c r="W74" s="463"/>
      <c r="X74" s="463"/>
      <c r="Y74" s="498"/>
      <c r="Z74" s="55"/>
      <c r="AA74" s="244" t="s">
        <v>97</v>
      </c>
      <c r="AB74" s="244">
        <f>SUM(F74:I74)</f>
        <v>0</v>
      </c>
      <c r="AC74" s="244">
        <f t="shared" si="18"/>
        <v>0</v>
      </c>
      <c r="AD74" s="244">
        <f t="shared" si="19"/>
        <v>0</v>
      </c>
      <c r="AE74" s="244">
        <f t="shared" si="16"/>
        <v>0</v>
      </c>
      <c r="AF74" s="244">
        <f t="shared" si="17"/>
        <v>0</v>
      </c>
    </row>
    <row r="75" spans="1:32" s="2" customFormat="1" ht="13" hidden="1" x14ac:dyDescent="0.3">
      <c r="A75" s="34" t="s">
        <v>85</v>
      </c>
      <c r="B75" s="318">
        <v>436</v>
      </c>
      <c r="C75" s="456">
        <v>-995</v>
      </c>
      <c r="D75" s="100">
        <v>-1036</v>
      </c>
      <c r="E75" s="496">
        <v>845</v>
      </c>
      <c r="F75" s="318">
        <v>-596</v>
      </c>
      <c r="G75" s="456">
        <v>836</v>
      </c>
      <c r="H75" s="100">
        <v>513</v>
      </c>
      <c r="I75" s="496">
        <v>-2495</v>
      </c>
      <c r="J75" s="318">
        <v>44</v>
      </c>
      <c r="K75" s="456">
        <v>2186</v>
      </c>
      <c r="L75" s="100">
        <v>298</v>
      </c>
      <c r="M75" s="496">
        <v>-1299</v>
      </c>
      <c r="N75" s="318">
        <v>-428</v>
      </c>
      <c r="O75" s="456">
        <v>1066</v>
      </c>
      <c r="P75" s="100">
        <v>-604</v>
      </c>
      <c r="Q75" s="496">
        <v>524</v>
      </c>
      <c r="R75" s="318">
        <v>-147</v>
      </c>
      <c r="S75" s="456">
        <v>873</v>
      </c>
      <c r="T75" s="100">
        <v>225</v>
      </c>
      <c r="U75" s="496">
        <v>76</v>
      </c>
      <c r="V75" s="318">
        <v>83</v>
      </c>
      <c r="W75" s="456"/>
      <c r="X75" s="100"/>
      <c r="Y75" s="496"/>
      <c r="Z75" s="55"/>
      <c r="AA75" s="486">
        <v>-750</v>
      </c>
      <c r="AB75" s="486">
        <f>SUM(F75:I75)</f>
        <v>-1742</v>
      </c>
      <c r="AC75" s="486">
        <f t="shared" si="18"/>
        <v>1229</v>
      </c>
      <c r="AD75" s="486">
        <f t="shared" si="19"/>
        <v>558</v>
      </c>
      <c r="AE75" s="486">
        <f t="shared" si="16"/>
        <v>1027</v>
      </c>
      <c r="AF75" s="486">
        <f t="shared" si="17"/>
        <v>83</v>
      </c>
    </row>
    <row r="76" spans="1:32" s="2" customFormat="1" ht="10.15" customHeight="1" x14ac:dyDescent="0.25">
      <c r="A76" s="19"/>
      <c r="B76" s="319"/>
      <c r="C76" s="449"/>
      <c r="D76" s="74"/>
      <c r="E76" s="433"/>
      <c r="F76" s="319"/>
      <c r="G76" s="449"/>
      <c r="H76" s="74"/>
      <c r="I76" s="433"/>
      <c r="J76" s="319"/>
      <c r="K76" s="449"/>
      <c r="L76" s="74"/>
      <c r="M76" s="433"/>
      <c r="N76" s="319"/>
      <c r="O76" s="449"/>
      <c r="P76" s="74"/>
      <c r="Q76" s="433"/>
      <c r="R76" s="319"/>
      <c r="S76" s="449"/>
      <c r="T76" s="74"/>
      <c r="U76" s="433"/>
      <c r="V76" s="319"/>
      <c r="W76" s="449"/>
      <c r="X76" s="74"/>
      <c r="Y76" s="433"/>
      <c r="Z76" s="55"/>
      <c r="AA76" s="230"/>
      <c r="AB76" s="230"/>
      <c r="AC76" s="230"/>
      <c r="AD76" s="230"/>
      <c r="AE76" s="230"/>
      <c r="AF76" s="230"/>
    </row>
    <row r="77" spans="1:32" s="2" customFormat="1" x14ac:dyDescent="0.25">
      <c r="A77" s="18" t="s">
        <v>86</v>
      </c>
      <c r="B77" s="319" t="s">
        <v>97</v>
      </c>
      <c r="C77" s="449">
        <v>-7</v>
      </c>
      <c r="D77" s="74">
        <v>-1</v>
      </c>
      <c r="E77" s="433" t="s">
        <v>97</v>
      </c>
      <c r="F77" s="319">
        <v>-1</v>
      </c>
      <c r="G77" s="449">
        <v>2</v>
      </c>
      <c r="H77" s="74">
        <v>-6</v>
      </c>
      <c r="I77" s="433">
        <v>3</v>
      </c>
      <c r="J77" s="319">
        <v>-10</v>
      </c>
      <c r="K77" s="449">
        <v>1</v>
      </c>
      <c r="L77" s="74">
        <v>2</v>
      </c>
      <c r="M77" s="433">
        <v>8</v>
      </c>
      <c r="N77" s="319">
        <v>-5</v>
      </c>
      <c r="O77" s="449">
        <v>2</v>
      </c>
      <c r="P77" s="74">
        <v>-3</v>
      </c>
      <c r="Q77" s="433">
        <v>3</v>
      </c>
      <c r="R77" s="234">
        <v>0</v>
      </c>
      <c r="S77" s="449">
        <v>-11</v>
      </c>
      <c r="T77" s="74">
        <v>-11</v>
      </c>
      <c r="U77" s="433">
        <v>10</v>
      </c>
      <c r="V77" s="234">
        <v>2</v>
      </c>
      <c r="W77" s="449">
        <v>-3</v>
      </c>
      <c r="X77" s="74"/>
      <c r="Y77" s="433"/>
      <c r="Z77" s="55"/>
      <c r="AA77" s="243">
        <v>-8</v>
      </c>
      <c r="AB77" s="243">
        <f>SUM(F77:I77)</f>
        <v>-2</v>
      </c>
      <c r="AC77" s="243">
        <f>SUM(J77:M77)</f>
        <v>1</v>
      </c>
      <c r="AD77" s="243">
        <f>N77+O77+P77+Q77</f>
        <v>-3</v>
      </c>
      <c r="AE77" s="243">
        <f>SUM(R77:U77)</f>
        <v>-12</v>
      </c>
      <c r="AF77" s="243">
        <f>SUM(V77:Y77)</f>
        <v>-1</v>
      </c>
    </row>
    <row r="78" spans="1:32" s="2" customFormat="1" ht="10.15" customHeight="1" x14ac:dyDescent="0.25">
      <c r="A78" s="18"/>
      <c r="B78" s="310"/>
      <c r="C78" s="296"/>
      <c r="D78" s="47"/>
      <c r="E78" s="150"/>
      <c r="F78" s="310"/>
      <c r="G78" s="296"/>
      <c r="H78" s="47"/>
      <c r="I78" s="150"/>
      <c r="J78" s="310"/>
      <c r="K78" s="296"/>
      <c r="L78" s="47"/>
      <c r="M78" s="150"/>
      <c r="N78" s="310"/>
      <c r="O78" s="296"/>
      <c r="P78" s="47"/>
      <c r="Q78" s="150"/>
      <c r="R78" s="310"/>
      <c r="S78" s="296"/>
      <c r="T78" s="47"/>
      <c r="U78" s="150"/>
      <c r="V78" s="310"/>
      <c r="W78" s="296"/>
      <c r="X78" s="47"/>
      <c r="Y78" s="150"/>
      <c r="AA78" s="230"/>
      <c r="AB78" s="230"/>
      <c r="AC78" s="230"/>
      <c r="AD78" s="230"/>
      <c r="AE78" s="230"/>
      <c r="AF78" s="230"/>
    </row>
    <row r="79" spans="1:32" s="2" customFormat="1" x14ac:dyDescent="0.25">
      <c r="A79" s="18" t="s">
        <v>87</v>
      </c>
      <c r="B79" s="319">
        <v>436</v>
      </c>
      <c r="C79" s="449">
        <v>-1002</v>
      </c>
      <c r="D79" s="74">
        <v>-1037</v>
      </c>
      <c r="E79" s="433">
        <v>845</v>
      </c>
      <c r="F79" s="319">
        <v>-597</v>
      </c>
      <c r="G79" s="449">
        <v>838</v>
      </c>
      <c r="H79" s="74">
        <v>507</v>
      </c>
      <c r="I79" s="433">
        <v>-2492</v>
      </c>
      <c r="J79" s="319">
        <v>34</v>
      </c>
      <c r="K79" s="449">
        <v>2187</v>
      </c>
      <c r="L79" s="74">
        <v>300</v>
      </c>
      <c r="M79" s="433">
        <v>-1291</v>
      </c>
      <c r="N79" s="319">
        <v>-433</v>
      </c>
      <c r="O79" s="449">
        <v>1068</v>
      </c>
      <c r="P79" s="74">
        <v>-607</v>
      </c>
      <c r="Q79" s="433">
        <v>527</v>
      </c>
      <c r="R79" s="319">
        <v>-147</v>
      </c>
      <c r="S79" s="449">
        <v>862</v>
      </c>
      <c r="T79" s="74">
        <v>214</v>
      </c>
      <c r="U79" s="433">
        <v>86</v>
      </c>
      <c r="V79" s="319">
        <v>85</v>
      </c>
      <c r="W79" s="449">
        <v>-67</v>
      </c>
      <c r="X79" s="74"/>
      <c r="Y79" s="433"/>
      <c r="Z79" s="55"/>
      <c r="AA79" s="230">
        <v>-758</v>
      </c>
      <c r="AB79" s="230">
        <f>SUM(F79:I79)</f>
        <v>-1744</v>
      </c>
      <c r="AC79" s="230">
        <f>SUM(J79:M79)</f>
        <v>1230</v>
      </c>
      <c r="AD79" s="230">
        <f t="shared" ref="AD79:AE82" si="20">N79+O79+P79+Q79</f>
        <v>555</v>
      </c>
      <c r="AE79" s="230">
        <f>SUM(R79:U79)</f>
        <v>1015</v>
      </c>
      <c r="AF79" s="230">
        <f>SUM(V79:Y79)</f>
        <v>18</v>
      </c>
    </row>
    <row r="80" spans="1:32" s="2" customFormat="1" x14ac:dyDescent="0.25">
      <c r="A80" s="18" t="s">
        <v>88</v>
      </c>
      <c r="B80" s="319">
        <v>3547</v>
      </c>
      <c r="C80" s="449">
        <v>3983</v>
      </c>
      <c r="D80" s="74">
        <v>2981</v>
      </c>
      <c r="E80" s="433">
        <v>1944</v>
      </c>
      <c r="F80" s="319">
        <v>2789</v>
      </c>
      <c r="G80" s="449">
        <v>2192</v>
      </c>
      <c r="H80" s="74">
        <v>3030</v>
      </c>
      <c r="I80" s="433">
        <v>3537</v>
      </c>
      <c r="J80" s="319">
        <v>1045</v>
      </c>
      <c r="K80" s="449">
        <v>1079</v>
      </c>
      <c r="L80" s="74">
        <v>3266</v>
      </c>
      <c r="M80" s="433">
        <v>3566</v>
      </c>
      <c r="N80" s="319">
        <v>2275</v>
      </c>
      <c r="O80" s="449">
        <v>1842</v>
      </c>
      <c r="P80" s="74">
        <v>2910</v>
      </c>
      <c r="Q80" s="433">
        <v>2303</v>
      </c>
      <c r="R80" s="319">
        <v>2830</v>
      </c>
      <c r="S80" s="449">
        <v>2683</v>
      </c>
      <c r="T80" s="74">
        <v>3545</v>
      </c>
      <c r="U80" s="433">
        <v>3759</v>
      </c>
      <c r="V80" s="319">
        <v>3845</v>
      </c>
      <c r="W80" s="449">
        <v>3930</v>
      </c>
      <c r="X80" s="74"/>
      <c r="Y80" s="433"/>
      <c r="Z80" s="55"/>
      <c r="AA80" s="230">
        <v>3547</v>
      </c>
      <c r="AB80" s="230">
        <v>2789</v>
      </c>
      <c r="AC80" s="230">
        <v>1045</v>
      </c>
      <c r="AD80" s="230">
        <v>2275</v>
      </c>
      <c r="AE80" s="230">
        <v>2830</v>
      </c>
      <c r="AF80" s="230">
        <v>3845</v>
      </c>
    </row>
    <row r="81" spans="1:32" s="2" customFormat="1" x14ac:dyDescent="0.25">
      <c r="A81" s="18" t="s">
        <v>101</v>
      </c>
      <c r="B81" s="310">
        <v>3983</v>
      </c>
      <c r="C81" s="296">
        <v>2981</v>
      </c>
      <c r="D81" s="47">
        <v>1944</v>
      </c>
      <c r="E81" s="150">
        <v>2789</v>
      </c>
      <c r="F81" s="310">
        <v>2192</v>
      </c>
      <c r="G81" s="296">
        <v>3030</v>
      </c>
      <c r="H81" s="47">
        <v>3537</v>
      </c>
      <c r="I81" s="150">
        <v>1045</v>
      </c>
      <c r="J81" s="310">
        <v>1079</v>
      </c>
      <c r="K81" s="296">
        <v>3266</v>
      </c>
      <c r="L81" s="47">
        <v>3566</v>
      </c>
      <c r="M81" s="150">
        <v>2275</v>
      </c>
      <c r="N81" s="310">
        <v>1842</v>
      </c>
      <c r="O81" s="296">
        <v>2910</v>
      </c>
      <c r="P81" s="47">
        <v>2303</v>
      </c>
      <c r="Q81" s="150">
        <v>2830</v>
      </c>
      <c r="R81" s="310">
        <v>2683</v>
      </c>
      <c r="S81" s="296">
        <v>3545</v>
      </c>
      <c r="T81" s="47">
        <v>3759</v>
      </c>
      <c r="U81" s="150">
        <v>3845</v>
      </c>
      <c r="V81" s="310">
        <v>3930</v>
      </c>
      <c r="W81" s="296">
        <v>3863</v>
      </c>
      <c r="X81" s="47"/>
      <c r="Y81" s="150"/>
      <c r="AA81" s="230">
        <v>2789</v>
      </c>
      <c r="AB81" s="230">
        <v>1045</v>
      </c>
      <c r="AC81" s="230">
        <v>2275</v>
      </c>
      <c r="AD81" s="230">
        <v>2830</v>
      </c>
      <c r="AE81" s="230">
        <v>3845</v>
      </c>
      <c r="AF81" s="230">
        <v>3863</v>
      </c>
    </row>
    <row r="82" spans="1:32" s="2" customFormat="1" x14ac:dyDescent="0.25">
      <c r="A82" s="18" t="s">
        <v>100</v>
      </c>
      <c r="B82" s="234">
        <v>0</v>
      </c>
      <c r="C82" s="302" t="s">
        <v>97</v>
      </c>
      <c r="D82" s="297" t="s">
        <v>97</v>
      </c>
      <c r="E82" s="304" t="s">
        <v>97</v>
      </c>
      <c r="F82" s="234" t="s">
        <v>97</v>
      </c>
      <c r="G82" s="463">
        <v>0</v>
      </c>
      <c r="H82" s="463">
        <v>0</v>
      </c>
      <c r="I82" s="304">
        <v>0</v>
      </c>
      <c r="J82" s="234">
        <v>0</v>
      </c>
      <c r="K82" s="463">
        <v>0</v>
      </c>
      <c r="L82" s="463">
        <v>0</v>
      </c>
      <c r="M82" s="304">
        <v>0</v>
      </c>
      <c r="N82" s="234">
        <v>0</v>
      </c>
      <c r="O82" s="463">
        <v>0</v>
      </c>
      <c r="P82" s="463">
        <v>0</v>
      </c>
      <c r="Q82" s="304">
        <v>0</v>
      </c>
      <c r="R82" s="234">
        <v>0</v>
      </c>
      <c r="S82" s="463">
        <v>0</v>
      </c>
      <c r="T82" s="463">
        <v>0</v>
      </c>
      <c r="U82" s="304">
        <v>0</v>
      </c>
      <c r="V82" s="234">
        <v>0</v>
      </c>
      <c r="W82" s="463">
        <v>0</v>
      </c>
      <c r="X82" s="463"/>
      <c r="Y82" s="304"/>
      <c r="AA82" s="243" t="s">
        <v>97</v>
      </c>
      <c r="AB82" s="243">
        <v>0</v>
      </c>
      <c r="AC82" s="243">
        <v>0</v>
      </c>
      <c r="AD82" s="243">
        <f t="shared" si="20"/>
        <v>0</v>
      </c>
      <c r="AE82" s="243">
        <f t="shared" si="20"/>
        <v>0</v>
      </c>
      <c r="AF82" s="243">
        <v>0</v>
      </c>
    </row>
    <row r="83" spans="1:32" s="96" customFormat="1" ht="13" x14ac:dyDescent="0.3">
      <c r="A83" s="90" t="s">
        <v>89</v>
      </c>
      <c r="B83" s="314">
        <v>3983</v>
      </c>
      <c r="C83" s="455">
        <v>2981</v>
      </c>
      <c r="D83" s="95">
        <v>1944</v>
      </c>
      <c r="E83" s="499">
        <v>2789</v>
      </c>
      <c r="F83" s="314">
        <v>2192</v>
      </c>
      <c r="G83" s="455">
        <v>3030</v>
      </c>
      <c r="H83" s="95">
        <v>3537</v>
      </c>
      <c r="I83" s="499">
        <v>1045</v>
      </c>
      <c r="J83" s="314">
        <v>1079</v>
      </c>
      <c r="K83" s="455">
        <v>3266</v>
      </c>
      <c r="L83" s="95">
        <v>3566</v>
      </c>
      <c r="M83" s="499">
        <v>2275</v>
      </c>
      <c r="N83" s="314">
        <v>1842</v>
      </c>
      <c r="O83" s="455">
        <v>2910</v>
      </c>
      <c r="P83" s="95">
        <v>2303</v>
      </c>
      <c r="Q83" s="499">
        <v>2830</v>
      </c>
      <c r="R83" s="314">
        <v>2683</v>
      </c>
      <c r="S83" s="455">
        <v>3545</v>
      </c>
      <c r="T83" s="95">
        <v>3759</v>
      </c>
      <c r="U83" s="499">
        <v>3845</v>
      </c>
      <c r="V83" s="314">
        <v>3930</v>
      </c>
      <c r="W83" s="455">
        <v>3863</v>
      </c>
      <c r="X83" s="95"/>
      <c r="Y83" s="499"/>
      <c r="AA83" s="492">
        <v>2789</v>
      </c>
      <c r="AB83" s="492">
        <v>1045</v>
      </c>
      <c r="AC83" s="492">
        <v>2275</v>
      </c>
      <c r="AD83" s="492">
        <v>2830</v>
      </c>
      <c r="AE83" s="489">
        <v>3845</v>
      </c>
      <c r="AF83" s="489">
        <v>3863</v>
      </c>
    </row>
    <row r="84" spans="1:32" s="2" customFormat="1" ht="6" customHeight="1" thickBot="1" x14ac:dyDescent="0.3">
      <c r="A84" s="27"/>
      <c r="B84" s="320"/>
      <c r="C84" s="461"/>
      <c r="D84" s="58"/>
      <c r="E84" s="500"/>
      <c r="F84" s="320"/>
      <c r="G84" s="461"/>
      <c r="H84" s="58"/>
      <c r="I84" s="500">
        <f t="shared" ref="I84" si="21">SUM(F84:H84)</f>
        <v>0</v>
      </c>
      <c r="J84" s="320"/>
      <c r="K84" s="461"/>
      <c r="L84" s="58"/>
      <c r="M84" s="500"/>
      <c r="N84" s="320"/>
      <c r="O84" s="461"/>
      <c r="P84" s="58"/>
      <c r="Q84" s="500"/>
      <c r="R84" s="320"/>
      <c r="S84" s="461"/>
      <c r="T84" s="58"/>
      <c r="U84" s="500"/>
      <c r="V84" s="320"/>
      <c r="W84" s="461"/>
      <c r="X84" s="58"/>
      <c r="Y84" s="500"/>
      <c r="AA84" s="493"/>
      <c r="AB84" s="493"/>
      <c r="AC84" s="493"/>
      <c r="AD84" s="493"/>
      <c r="AE84" s="493"/>
      <c r="AF84" s="493"/>
    </row>
    <row r="85" spans="1:32" s="2" customFormat="1" x14ac:dyDescent="0.25">
      <c r="A85" s="33"/>
      <c r="C85" s="62"/>
      <c r="G85" s="62"/>
      <c r="K85" s="62"/>
      <c r="O85" s="62"/>
      <c r="S85" s="62"/>
      <c r="W85" s="62"/>
      <c r="AA85" s="94"/>
      <c r="AB85" s="94"/>
      <c r="AC85" s="94"/>
      <c r="AD85" s="94"/>
      <c r="AE85" s="94"/>
      <c r="AF85" s="94"/>
    </row>
    <row r="86" spans="1:32" x14ac:dyDescent="0.25">
      <c r="A86" s="411" t="s">
        <v>170</v>
      </c>
      <c r="C86" s="87"/>
      <c r="G86" s="87"/>
      <c r="K86" s="87"/>
      <c r="O86" s="87"/>
      <c r="S86" s="87"/>
      <c r="W86" s="87"/>
    </row>
    <row r="87" spans="1:32" x14ac:dyDescent="0.25">
      <c r="A87" s="245" t="s">
        <v>171</v>
      </c>
      <c r="B87" s="133">
        <v>21</v>
      </c>
      <c r="C87" s="412">
        <v>75</v>
      </c>
      <c r="D87" s="238">
        <v>7</v>
      </c>
      <c r="E87" s="133">
        <v>74</v>
      </c>
      <c r="F87" s="551">
        <v>25</v>
      </c>
      <c r="G87" s="551">
        <v>78</v>
      </c>
      <c r="H87" s="551">
        <v>44</v>
      </c>
      <c r="I87" s="551">
        <v>95</v>
      </c>
      <c r="J87" s="551">
        <v>53</v>
      </c>
      <c r="K87" s="551">
        <v>104</v>
      </c>
      <c r="L87" s="551">
        <v>54</v>
      </c>
      <c r="M87" s="87">
        <v>125</v>
      </c>
      <c r="N87" s="551">
        <v>56</v>
      </c>
      <c r="O87" s="551">
        <v>104</v>
      </c>
      <c r="P87" s="551">
        <v>56</v>
      </c>
      <c r="Q87" s="551">
        <v>140</v>
      </c>
      <c r="R87" s="551">
        <v>45</v>
      </c>
      <c r="S87" s="551">
        <v>133</v>
      </c>
      <c r="T87" s="551">
        <v>39</v>
      </c>
      <c r="U87" s="551">
        <v>106</v>
      </c>
      <c r="V87" s="551">
        <v>54</v>
      </c>
      <c r="W87" s="551">
        <v>86</v>
      </c>
      <c r="X87" s="551"/>
      <c r="Y87" s="551"/>
      <c r="Z87" s="87"/>
      <c r="AA87" s="551">
        <v>177</v>
      </c>
      <c r="AB87" s="551">
        <v>242</v>
      </c>
      <c r="AC87" s="551">
        <f t="shared" ref="AC87:AC91" si="22">SUM(J87:M87)</f>
        <v>336</v>
      </c>
      <c r="AD87" s="551">
        <v>356</v>
      </c>
      <c r="AE87" s="551">
        <v>323</v>
      </c>
      <c r="AF87" s="551">
        <f>SUM(V87:Y87)</f>
        <v>140</v>
      </c>
    </row>
    <row r="88" spans="1:32" x14ac:dyDescent="0.25">
      <c r="A88" s="238" t="s">
        <v>172</v>
      </c>
      <c r="B88" s="133">
        <v>44</v>
      </c>
      <c r="C88" s="412">
        <v>3</v>
      </c>
      <c r="D88" s="238">
        <v>80</v>
      </c>
      <c r="E88" s="87">
        <v>61</v>
      </c>
      <c r="F88" s="551">
        <v>209</v>
      </c>
      <c r="G88" s="551">
        <v>66</v>
      </c>
      <c r="H88" s="551">
        <v>59</v>
      </c>
      <c r="I88" s="551">
        <v>34</v>
      </c>
      <c r="J88" s="551">
        <v>39</v>
      </c>
      <c r="K88" s="551">
        <v>25</v>
      </c>
      <c r="L88" s="551">
        <v>39</v>
      </c>
      <c r="M88" s="87">
        <v>45</v>
      </c>
      <c r="N88" s="551">
        <v>40</v>
      </c>
      <c r="O88" s="551">
        <v>121</v>
      </c>
      <c r="P88" s="551">
        <v>89</v>
      </c>
      <c r="Q88" s="551">
        <v>103</v>
      </c>
      <c r="R88" s="551">
        <v>122</v>
      </c>
      <c r="S88" s="551">
        <v>150</v>
      </c>
      <c r="T88" s="551">
        <v>160</v>
      </c>
      <c r="U88" s="551">
        <v>126</v>
      </c>
      <c r="V88" s="551">
        <v>294</v>
      </c>
      <c r="W88" s="551">
        <v>239</v>
      </c>
      <c r="X88" s="551"/>
      <c r="Y88" s="551"/>
      <c r="Z88" s="87"/>
      <c r="AA88" s="551">
        <v>188</v>
      </c>
      <c r="AB88" s="551">
        <v>368</v>
      </c>
      <c r="AC88" s="551">
        <f t="shared" si="22"/>
        <v>148</v>
      </c>
      <c r="AD88" s="551">
        <v>353</v>
      </c>
      <c r="AE88" s="551">
        <v>558</v>
      </c>
      <c r="AF88" s="551">
        <f>SUM(V88:Y88)</f>
        <v>533</v>
      </c>
    </row>
    <row r="89" spans="1:32" s="133" customFormat="1" x14ac:dyDescent="0.25">
      <c r="A89" s="411" t="s">
        <v>227</v>
      </c>
      <c r="C89" s="412"/>
      <c r="D89" s="238"/>
      <c r="E89" s="87"/>
      <c r="F89" s="551"/>
      <c r="G89" s="551"/>
      <c r="H89" s="551"/>
      <c r="I89" s="551"/>
      <c r="J89" s="551"/>
      <c r="K89" s="551"/>
      <c r="L89" s="551"/>
      <c r="M89" s="87"/>
      <c r="N89" s="551"/>
      <c r="O89" s="551"/>
      <c r="P89" s="551"/>
      <c r="Q89" s="87"/>
      <c r="R89" s="551"/>
      <c r="S89" s="551"/>
      <c r="T89" s="551"/>
      <c r="U89" s="87"/>
      <c r="V89" s="551"/>
      <c r="W89" s="551"/>
      <c r="X89" s="551"/>
      <c r="Y89" s="87"/>
      <c r="Z89" s="87"/>
      <c r="AA89" s="551"/>
      <c r="AB89" s="551"/>
      <c r="AC89" s="551"/>
      <c r="AD89" s="551"/>
      <c r="AE89" s="551"/>
      <c r="AF89" s="551"/>
    </row>
    <row r="90" spans="1:32" s="133" customFormat="1" x14ac:dyDescent="0.25">
      <c r="A90" s="245" t="s">
        <v>228</v>
      </c>
      <c r="B90" s="551">
        <v>0</v>
      </c>
      <c r="C90" s="551">
        <v>0</v>
      </c>
      <c r="D90" s="551">
        <v>0</v>
      </c>
      <c r="E90" s="551">
        <v>0</v>
      </c>
      <c r="F90" s="551">
        <v>0</v>
      </c>
      <c r="G90" s="551">
        <v>0</v>
      </c>
      <c r="H90" s="551">
        <v>21</v>
      </c>
      <c r="I90" s="551">
        <v>0</v>
      </c>
      <c r="J90" s="551">
        <v>161</v>
      </c>
      <c r="K90" s="551">
        <v>0</v>
      </c>
      <c r="L90" s="551">
        <v>2</v>
      </c>
      <c r="M90" s="551">
        <v>2</v>
      </c>
      <c r="N90" s="551">
        <v>0</v>
      </c>
      <c r="O90" s="551">
        <v>0</v>
      </c>
      <c r="P90" s="551">
        <v>0</v>
      </c>
      <c r="Q90" s="551">
        <v>1</v>
      </c>
      <c r="R90" s="551">
        <v>1</v>
      </c>
      <c r="S90" s="551">
        <v>0</v>
      </c>
      <c r="T90" s="551">
        <v>1</v>
      </c>
      <c r="U90" s="551">
        <v>0</v>
      </c>
      <c r="V90" s="551">
        <v>0</v>
      </c>
      <c r="W90" s="551">
        <v>1</v>
      </c>
      <c r="X90" s="551"/>
      <c r="Y90" s="551"/>
      <c r="Z90" s="87"/>
      <c r="AA90" s="551">
        <v>0</v>
      </c>
      <c r="AB90" s="551">
        <v>21</v>
      </c>
      <c r="AC90" s="551">
        <f t="shared" si="22"/>
        <v>165</v>
      </c>
      <c r="AD90" s="551">
        <v>1</v>
      </c>
      <c r="AE90" s="551">
        <v>2</v>
      </c>
      <c r="AF90" s="551">
        <f>SUM(V90:Y90)</f>
        <v>1</v>
      </c>
    </row>
    <row r="91" spans="1:32" s="133" customFormat="1" x14ac:dyDescent="0.25">
      <c r="A91" s="238" t="s">
        <v>229</v>
      </c>
      <c r="B91" s="551">
        <v>0</v>
      </c>
      <c r="C91" s="551">
        <v>0</v>
      </c>
      <c r="D91" s="551">
        <v>0</v>
      </c>
      <c r="E91" s="551">
        <v>0</v>
      </c>
      <c r="F91" s="551">
        <v>0</v>
      </c>
      <c r="G91" s="551">
        <v>0</v>
      </c>
      <c r="H91" s="551">
        <v>-1</v>
      </c>
      <c r="I91" s="551">
        <v>0</v>
      </c>
      <c r="J91" s="551">
        <v>-51</v>
      </c>
      <c r="K91" s="551">
        <v>0</v>
      </c>
      <c r="L91" s="551">
        <v>-1</v>
      </c>
      <c r="M91" s="551">
        <v>2</v>
      </c>
      <c r="N91" s="551">
        <v>0</v>
      </c>
      <c r="O91" s="551">
        <v>0</v>
      </c>
      <c r="P91" s="551">
        <v>0</v>
      </c>
      <c r="Q91" s="551">
        <v>0</v>
      </c>
      <c r="R91" s="551">
        <v>0</v>
      </c>
      <c r="S91" s="551">
        <v>0</v>
      </c>
      <c r="T91" s="551">
        <v>0</v>
      </c>
      <c r="U91" s="551">
        <v>-2</v>
      </c>
      <c r="V91" s="551">
        <v>0</v>
      </c>
      <c r="W91" s="551"/>
      <c r="X91" s="551"/>
      <c r="Y91" s="551"/>
      <c r="Z91" s="87"/>
      <c r="AA91" s="551">
        <v>0</v>
      </c>
      <c r="AB91" s="551">
        <v>-1</v>
      </c>
      <c r="AC91" s="551">
        <f t="shared" si="22"/>
        <v>-50</v>
      </c>
      <c r="AD91" s="551">
        <v>0</v>
      </c>
      <c r="AE91" s="551">
        <v>-2</v>
      </c>
      <c r="AF91" s="551">
        <f>SUM(V91:Y91)</f>
        <v>0</v>
      </c>
    </row>
    <row r="92" spans="1:32" s="133" customFormat="1" x14ac:dyDescent="0.25">
      <c r="A92" s="411" t="s">
        <v>230</v>
      </c>
      <c r="C92" s="412"/>
      <c r="D92" s="238"/>
      <c r="E92" s="87"/>
      <c r="G92" s="412"/>
      <c r="H92" s="238"/>
      <c r="I92" s="87"/>
      <c r="J92" s="551"/>
      <c r="K92" s="551"/>
      <c r="L92" s="551"/>
      <c r="M92" s="551"/>
      <c r="N92" s="551"/>
      <c r="O92" s="551"/>
      <c r="P92" s="551"/>
      <c r="Q92" s="551"/>
      <c r="R92" s="551"/>
      <c r="S92" s="551"/>
      <c r="T92" s="551"/>
      <c r="U92" s="551"/>
      <c r="V92" s="551"/>
      <c r="W92" s="551"/>
      <c r="X92" s="551"/>
      <c r="Y92" s="551"/>
      <c r="Z92" s="87"/>
      <c r="AA92" s="551"/>
      <c r="AB92" s="551"/>
      <c r="AC92" s="551"/>
      <c r="AD92" s="551"/>
      <c r="AE92" s="551"/>
      <c r="AF92" s="551"/>
    </row>
    <row r="93" spans="1:32" s="133" customFormat="1" x14ac:dyDescent="0.25">
      <c r="A93" s="238" t="s">
        <v>231</v>
      </c>
      <c r="B93" s="553"/>
      <c r="C93" s="554"/>
      <c r="D93" s="555"/>
      <c r="E93" s="553">
        <v>137</v>
      </c>
      <c r="F93" s="551">
        <v>89</v>
      </c>
      <c r="G93" s="412">
        <v>89</v>
      </c>
      <c r="H93" s="238">
        <v>94</v>
      </c>
      <c r="I93" s="551">
        <v>133</v>
      </c>
      <c r="J93" s="87">
        <v>78</v>
      </c>
      <c r="K93" s="412">
        <v>54</v>
      </c>
      <c r="L93" s="238">
        <v>62</v>
      </c>
      <c r="M93" s="87">
        <v>119</v>
      </c>
      <c r="N93" s="551">
        <v>121</v>
      </c>
      <c r="O93" s="412">
        <v>167</v>
      </c>
      <c r="P93" s="238">
        <v>224</v>
      </c>
      <c r="Q93" s="551">
        <v>243</v>
      </c>
      <c r="R93" s="551">
        <v>246</v>
      </c>
      <c r="S93" s="412">
        <v>243</v>
      </c>
      <c r="T93" s="238">
        <v>176</v>
      </c>
      <c r="U93" s="551">
        <v>232</v>
      </c>
      <c r="V93" s="551">
        <v>176</v>
      </c>
      <c r="W93" s="412">
        <v>165</v>
      </c>
      <c r="X93" s="238"/>
      <c r="Y93" s="551"/>
      <c r="Z93" s="87"/>
      <c r="AA93" s="551">
        <v>137</v>
      </c>
      <c r="AB93" s="551">
        <v>133</v>
      </c>
      <c r="AC93" s="551">
        <v>119</v>
      </c>
      <c r="AD93" s="551">
        <v>243</v>
      </c>
      <c r="AE93" s="551">
        <v>232</v>
      </c>
      <c r="AF93" s="551">
        <v>165</v>
      </c>
    </row>
    <row r="94" spans="1:32" s="133" customFormat="1" x14ac:dyDescent="0.25">
      <c r="A94" s="238"/>
      <c r="B94" s="87"/>
      <c r="C94" s="412"/>
      <c r="D94" s="238"/>
      <c r="E94" s="87"/>
      <c r="F94" s="87"/>
      <c r="G94" s="412"/>
      <c r="H94" s="238"/>
      <c r="I94" s="87"/>
      <c r="J94" s="87"/>
      <c r="K94" s="412"/>
      <c r="L94" s="238"/>
      <c r="M94" s="87"/>
      <c r="N94" s="87"/>
      <c r="O94" s="412"/>
      <c r="P94" s="238"/>
      <c r="Q94" s="87"/>
      <c r="R94" s="87"/>
      <c r="S94" s="412"/>
      <c r="T94" s="238"/>
      <c r="U94" s="87"/>
      <c r="V94" s="87"/>
      <c r="W94" s="412"/>
      <c r="X94" s="238"/>
      <c r="Y94" s="87"/>
      <c r="Z94" s="87"/>
      <c r="AA94" s="551"/>
      <c r="AB94" s="551"/>
      <c r="AC94" s="551"/>
      <c r="AD94" s="551"/>
      <c r="AE94" s="551"/>
      <c r="AF94" s="551"/>
    </row>
    <row r="95" spans="1:32" s="2" customFormat="1" x14ac:dyDescent="0.25">
      <c r="A95" s="465" t="s">
        <v>192</v>
      </c>
      <c r="C95" s="62"/>
      <c r="G95" s="62"/>
      <c r="K95" s="62"/>
      <c r="M95" s="62"/>
      <c r="O95" s="62"/>
      <c r="Q95" s="62"/>
      <c r="S95" s="62"/>
      <c r="U95" s="62"/>
      <c r="W95" s="62"/>
      <c r="Y95" s="62"/>
      <c r="AA95" s="552"/>
      <c r="AB95" s="552"/>
      <c r="AC95" s="552"/>
      <c r="AD95" s="552"/>
      <c r="AE95" s="552"/>
      <c r="AF95" s="552"/>
    </row>
    <row r="96" spans="1:32" s="2" customFormat="1" x14ac:dyDescent="0.25">
      <c r="A96" s="238" t="s">
        <v>191</v>
      </c>
      <c r="B96" s="60">
        <v>-36</v>
      </c>
      <c r="C96" s="62"/>
      <c r="F96" s="60"/>
      <c r="G96" s="62"/>
      <c r="J96" s="60"/>
      <c r="K96" s="62"/>
      <c r="N96" s="60"/>
      <c r="O96" s="62"/>
      <c r="R96" s="60"/>
      <c r="S96" s="62"/>
      <c r="V96" s="60"/>
      <c r="W96" s="62"/>
      <c r="AA96" s="552">
        <v>-36</v>
      </c>
      <c r="AB96" s="552"/>
      <c r="AC96" s="552"/>
      <c r="AD96" s="552"/>
      <c r="AE96" s="552"/>
      <c r="AF96" s="552"/>
    </row>
    <row r="97" spans="1:32" s="2" customFormat="1" x14ac:dyDescent="0.25">
      <c r="A97" s="238" t="s">
        <v>38</v>
      </c>
      <c r="B97" s="2">
        <v>22</v>
      </c>
      <c r="C97" s="62"/>
      <c r="G97" s="62"/>
      <c r="K97" s="62"/>
      <c r="O97" s="62"/>
      <c r="S97" s="62"/>
      <c r="W97" s="62"/>
      <c r="AA97" s="552">
        <v>22</v>
      </c>
      <c r="AB97" s="552"/>
      <c r="AC97" s="552"/>
      <c r="AD97" s="552"/>
      <c r="AE97" s="552"/>
      <c r="AF97" s="552"/>
    </row>
    <row r="98" spans="1:32" s="2" customFormat="1" x14ac:dyDescent="0.25">
      <c r="A98" s="33"/>
      <c r="C98" s="62"/>
      <c r="G98" s="62"/>
      <c r="K98" s="62"/>
      <c r="O98" s="62"/>
      <c r="S98" s="62"/>
      <c r="W98" s="62"/>
      <c r="AA98" s="552"/>
      <c r="AB98" s="552"/>
      <c r="AC98" s="552"/>
      <c r="AD98" s="552"/>
      <c r="AE98" s="552"/>
      <c r="AF98" s="552"/>
    </row>
    <row r="99" spans="1:32" x14ac:dyDescent="0.25">
      <c r="A99" s="484"/>
    </row>
    <row r="100" spans="1:32" x14ac:dyDescent="0.25">
      <c r="A100" s="180"/>
    </row>
    <row r="101" spans="1:32" x14ac:dyDescent="0.25">
      <c r="A101" s="180"/>
    </row>
    <row r="102" spans="1:32" x14ac:dyDescent="0.25">
      <c r="A102" s="180"/>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C87:AC88 AB67:AB82 AC79 AC67:AC77 AB6:AC11 AB35:AC55 AB18:AC20 AE6 AE7:AE8 AE10:AE11 AE21:AE22 AE23 AE26:AE28 AE31:AE43 AE46:AE55 AE77 AE79 AB23:AC24 AB21:AC22 AB25:AC32 AE66:AE67 AB56:AC57 AE56:AE57 AB58:AC65 AE58:AE65 AB12:AC16 AE12:AE17 AE69:AE7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66"/>
  <sheetViews>
    <sheetView zoomScaleNormal="100" workbookViewId="0">
      <pane xSplit="1" topLeftCell="S1" activePane="topRight" state="frozen"/>
      <selection activeCell="N50" sqref="N50"/>
      <selection pane="topRight" activeCell="A42" sqref="A42"/>
    </sheetView>
  </sheetViews>
  <sheetFormatPr defaultRowHeight="12.5" x14ac:dyDescent="0.25"/>
  <cols>
    <col min="1" max="1" width="39.453125" customWidth="1"/>
    <col min="2" max="23" width="9.26953125" style="133" customWidth="1"/>
    <col min="24" max="25" width="9.26953125" style="133" hidden="1" customWidth="1"/>
    <col min="26" max="26" width="2.7265625" customWidth="1"/>
    <col min="27" max="27" width="9.1796875" style="133" hidden="1" customWidth="1"/>
    <col min="28" max="28" width="9.1796875" customWidth="1"/>
    <col min="29" max="29" width="9.1796875" style="133" customWidth="1"/>
    <col min="30" max="30" width="9.1796875" customWidth="1"/>
    <col min="31" max="31" width="8.7265625" style="133" customWidth="1"/>
    <col min="32" max="32" width="8.7265625" customWidth="1"/>
  </cols>
  <sheetData>
    <row r="1" spans="1:32" ht="14" x14ac:dyDescent="0.3">
      <c r="A1" s="1" t="s">
        <v>0</v>
      </c>
    </row>
    <row r="2" spans="1:32" x14ac:dyDescent="0.25">
      <c r="C2" s="87"/>
    </row>
    <row r="3" spans="1:32" s="133" customFormat="1" ht="14.5" thickBot="1" x14ac:dyDescent="0.35">
      <c r="A3" s="1" t="s">
        <v>194</v>
      </c>
      <c r="C3" s="87"/>
      <c r="AC3" s="535"/>
      <c r="AD3" s="535"/>
      <c r="AF3" s="535" t="s">
        <v>222</v>
      </c>
    </row>
    <row r="4" spans="1:32" s="133" customFormat="1" ht="13.5" thickBot="1" x14ac:dyDescent="0.3">
      <c r="A4" s="11" t="s">
        <v>5</v>
      </c>
      <c r="B4" s="220" t="s">
        <v>187</v>
      </c>
      <c r="C4" s="451" t="s">
        <v>188</v>
      </c>
      <c r="D4" s="451" t="s">
        <v>189</v>
      </c>
      <c r="E4" s="108" t="s">
        <v>190</v>
      </c>
      <c r="F4" s="220" t="s">
        <v>208</v>
      </c>
      <c r="G4" s="451" t="s">
        <v>212</v>
      </c>
      <c r="H4" s="451" t="s">
        <v>213</v>
      </c>
      <c r="I4" s="108" t="s">
        <v>214</v>
      </c>
      <c r="J4" s="220" t="s">
        <v>218</v>
      </c>
      <c r="K4" s="451" t="s">
        <v>219</v>
      </c>
      <c r="L4" s="451" t="s">
        <v>220</v>
      </c>
      <c r="M4" s="108" t="s">
        <v>221</v>
      </c>
      <c r="N4" s="220" t="s">
        <v>234</v>
      </c>
      <c r="O4" s="221" t="s">
        <v>235</v>
      </c>
      <c r="P4" s="221" t="s">
        <v>236</v>
      </c>
      <c r="Q4" s="108" t="s">
        <v>237</v>
      </c>
      <c r="R4" s="220" t="s">
        <v>241</v>
      </c>
      <c r="S4" s="221" t="s">
        <v>242</v>
      </c>
      <c r="T4" s="221" t="s">
        <v>243</v>
      </c>
      <c r="U4" s="108" t="s">
        <v>244</v>
      </c>
      <c r="V4" s="220" t="s">
        <v>270</v>
      </c>
      <c r="W4" s="221" t="s">
        <v>271</v>
      </c>
      <c r="X4" s="221" t="s">
        <v>272</v>
      </c>
      <c r="Y4" s="108" t="s">
        <v>273</v>
      </c>
      <c r="AA4" s="12">
        <v>2018</v>
      </c>
      <c r="AB4" s="12">
        <v>2019</v>
      </c>
      <c r="AC4" s="12">
        <v>2020</v>
      </c>
      <c r="AD4" s="12">
        <v>2021</v>
      </c>
      <c r="AE4" s="12">
        <v>2022</v>
      </c>
      <c r="AF4" s="12">
        <v>2023</v>
      </c>
    </row>
    <row r="5" spans="1:32" s="133" customFormat="1" ht="18" customHeight="1" x14ac:dyDescent="0.25">
      <c r="A5" s="475" t="s">
        <v>200</v>
      </c>
      <c r="B5" s="466">
        <v>1131</v>
      </c>
      <c r="C5" s="442">
        <v>1143</v>
      </c>
      <c r="D5" s="277">
        <v>1121</v>
      </c>
      <c r="E5" s="479">
        <v>1112</v>
      </c>
      <c r="F5" s="466">
        <v>1036</v>
      </c>
      <c r="G5" s="442">
        <v>1031</v>
      </c>
      <c r="H5" s="277">
        <v>1048</v>
      </c>
      <c r="I5" s="533">
        <v>1097</v>
      </c>
      <c r="J5" s="466">
        <v>994</v>
      </c>
      <c r="K5" s="442">
        <v>674</v>
      </c>
      <c r="L5" s="277">
        <v>964</v>
      </c>
      <c r="M5" s="533">
        <v>1193</v>
      </c>
      <c r="N5" s="466">
        <v>1229</v>
      </c>
      <c r="O5" s="442">
        <v>1262</v>
      </c>
      <c r="P5" s="277">
        <v>1455</v>
      </c>
      <c r="Q5" s="533">
        <v>1547</v>
      </c>
      <c r="R5" s="466">
        <v>1557</v>
      </c>
      <c r="S5" s="442">
        <v>1713</v>
      </c>
      <c r="T5" s="277">
        <v>1804</v>
      </c>
      <c r="U5" s="533">
        <v>1805</v>
      </c>
      <c r="V5" s="466">
        <v>1828</v>
      </c>
      <c r="W5" s="442">
        <v>1866</v>
      </c>
      <c r="X5" s="277"/>
      <c r="Y5" s="533"/>
      <c r="AA5" s="54">
        <v>4507</v>
      </c>
      <c r="AB5" s="54">
        <v>4212</v>
      </c>
      <c r="AC5" s="531">
        <f>J5+K5+L5+M5</f>
        <v>3825</v>
      </c>
      <c r="AD5" s="531">
        <f>N5+O5+P5+Q5</f>
        <v>5493</v>
      </c>
      <c r="AE5" s="531">
        <f>SUM(R5:U5)</f>
        <v>6879</v>
      </c>
      <c r="AF5" s="531">
        <f>SUM(V5:Y5)</f>
        <v>3694</v>
      </c>
    </row>
    <row r="6" spans="1:32" s="133" customFormat="1" ht="18" customHeight="1" x14ac:dyDescent="0.25">
      <c r="A6" s="476" t="s">
        <v>195</v>
      </c>
      <c r="B6" s="480">
        <v>426</v>
      </c>
      <c r="C6" s="443">
        <v>454</v>
      </c>
      <c r="D6" s="52">
        <v>498</v>
      </c>
      <c r="E6" s="53">
        <v>435</v>
      </c>
      <c r="F6" s="480">
        <v>368</v>
      </c>
      <c r="G6" s="443">
        <v>390</v>
      </c>
      <c r="H6" s="52">
        <v>426</v>
      </c>
      <c r="I6" s="532">
        <v>415</v>
      </c>
      <c r="J6" s="480">
        <v>376</v>
      </c>
      <c r="K6" s="443">
        <v>435</v>
      </c>
      <c r="L6" s="52">
        <v>514</v>
      </c>
      <c r="M6" s="532">
        <v>511</v>
      </c>
      <c r="N6" s="480">
        <v>571</v>
      </c>
      <c r="O6" s="443">
        <v>571</v>
      </c>
      <c r="P6" s="52">
        <v>607</v>
      </c>
      <c r="Q6" s="532">
        <v>661</v>
      </c>
      <c r="R6" s="480">
        <v>682</v>
      </c>
      <c r="S6" s="443">
        <v>713</v>
      </c>
      <c r="T6" s="52">
        <v>713</v>
      </c>
      <c r="U6" s="532">
        <v>605</v>
      </c>
      <c r="V6" s="480">
        <v>504</v>
      </c>
      <c r="W6" s="443">
        <v>578</v>
      </c>
      <c r="X6" s="52"/>
      <c r="Y6" s="532"/>
      <c r="AA6" s="54">
        <v>1813</v>
      </c>
      <c r="AB6" s="531">
        <v>1599</v>
      </c>
      <c r="AC6" s="531">
        <f>J6+K6+L6+M6</f>
        <v>1836</v>
      </c>
      <c r="AD6" s="531">
        <f t="shared" ref="AD6:AD8" si="0">N6+O6+P6+Q6</f>
        <v>2410</v>
      </c>
      <c r="AE6" s="531">
        <f t="shared" ref="AE6:AE8" si="1">SUM(R6:U6)</f>
        <v>2713</v>
      </c>
      <c r="AF6" s="531">
        <f t="shared" ref="AF6:AF8" si="2">SUM(V6:Y6)</f>
        <v>1082</v>
      </c>
    </row>
    <row r="7" spans="1:32" s="133" customFormat="1" ht="18" customHeight="1" x14ac:dyDescent="0.25">
      <c r="A7" s="477" t="s">
        <v>196</v>
      </c>
      <c r="B7" s="480">
        <v>266</v>
      </c>
      <c r="C7" s="443">
        <v>238</v>
      </c>
      <c r="D7" s="52">
        <v>316</v>
      </c>
      <c r="E7" s="53">
        <v>344</v>
      </c>
      <c r="F7" s="480">
        <v>241</v>
      </c>
      <c r="G7" s="443">
        <v>297</v>
      </c>
      <c r="H7" s="52">
        <v>321</v>
      </c>
      <c r="I7" s="532">
        <v>332</v>
      </c>
      <c r="J7" s="480">
        <v>247</v>
      </c>
      <c r="K7" s="443">
        <v>255</v>
      </c>
      <c r="L7" s="52">
        <v>337</v>
      </c>
      <c r="M7" s="532">
        <v>409</v>
      </c>
      <c r="N7" s="480">
        <v>346</v>
      </c>
      <c r="O7" s="443">
        <v>347</v>
      </c>
      <c r="P7" s="52">
        <v>345</v>
      </c>
      <c r="Q7" s="532">
        <v>374</v>
      </c>
      <c r="R7" s="480">
        <v>401</v>
      </c>
      <c r="S7" s="443">
        <v>388</v>
      </c>
      <c r="T7" s="52">
        <v>410</v>
      </c>
      <c r="U7" s="532">
        <v>408</v>
      </c>
      <c r="V7" s="480">
        <v>260</v>
      </c>
      <c r="W7" s="443">
        <v>284</v>
      </c>
      <c r="X7" s="52"/>
      <c r="Y7" s="532"/>
      <c r="AA7" s="54">
        <v>1164</v>
      </c>
      <c r="AB7" s="531">
        <v>1191</v>
      </c>
      <c r="AC7" s="531">
        <f t="shared" ref="AC7:AC11" si="3">J7+K7+L7+M7</f>
        <v>1248</v>
      </c>
      <c r="AD7" s="531">
        <f t="shared" si="0"/>
        <v>1412</v>
      </c>
      <c r="AE7" s="531">
        <f t="shared" si="1"/>
        <v>1607</v>
      </c>
      <c r="AF7" s="531">
        <f t="shared" si="2"/>
        <v>544</v>
      </c>
    </row>
    <row r="8" spans="1:32" s="133" customFormat="1" ht="18" customHeight="1" x14ac:dyDescent="0.25">
      <c r="A8" s="477" t="s">
        <v>197</v>
      </c>
      <c r="B8" s="480">
        <v>407</v>
      </c>
      <c r="C8" s="443">
        <v>419</v>
      </c>
      <c r="D8" s="52">
        <v>478</v>
      </c>
      <c r="E8" s="53">
        <v>483</v>
      </c>
      <c r="F8" s="480">
        <v>449</v>
      </c>
      <c r="G8" s="443">
        <v>499</v>
      </c>
      <c r="H8" s="52">
        <v>470</v>
      </c>
      <c r="I8" s="532">
        <v>457</v>
      </c>
      <c r="J8" s="480">
        <v>404</v>
      </c>
      <c r="K8" s="443">
        <v>453</v>
      </c>
      <c r="L8" s="52">
        <v>452</v>
      </c>
      <c r="M8" s="532">
        <v>394</v>
      </c>
      <c r="N8" s="480">
        <v>421</v>
      </c>
      <c r="O8" s="443">
        <v>416</v>
      </c>
      <c r="P8" s="52">
        <v>454</v>
      </c>
      <c r="Q8" s="532">
        <v>457</v>
      </c>
      <c r="R8" s="480">
        <v>496</v>
      </c>
      <c r="S8" s="443">
        <v>498</v>
      </c>
      <c r="T8" s="52">
        <v>518</v>
      </c>
      <c r="U8" s="532">
        <v>494</v>
      </c>
      <c r="V8" s="480">
        <v>529</v>
      </c>
      <c r="W8" s="443">
        <v>571</v>
      </c>
      <c r="X8" s="52"/>
      <c r="Y8" s="532"/>
      <c r="AA8" s="54">
        <v>1787</v>
      </c>
      <c r="AB8" s="531">
        <v>1875</v>
      </c>
      <c r="AC8" s="531">
        <f t="shared" si="3"/>
        <v>1703</v>
      </c>
      <c r="AD8" s="531">
        <f t="shared" si="0"/>
        <v>1748</v>
      </c>
      <c r="AE8" s="531">
        <f t="shared" si="1"/>
        <v>2006</v>
      </c>
      <c r="AF8" s="531">
        <f t="shared" si="2"/>
        <v>1100</v>
      </c>
    </row>
    <row r="9" spans="1:32" s="133" customFormat="1" ht="18" customHeight="1" x14ac:dyDescent="0.25">
      <c r="A9" s="477" t="s">
        <v>1</v>
      </c>
      <c r="B9" s="506">
        <v>0</v>
      </c>
      <c r="C9" s="505">
        <v>0</v>
      </c>
      <c r="D9" s="229">
        <v>0</v>
      </c>
      <c r="E9" s="230">
        <v>0</v>
      </c>
      <c r="F9" s="506">
        <v>0</v>
      </c>
      <c r="G9" s="505">
        <v>0</v>
      </c>
      <c r="H9" s="229">
        <v>0</v>
      </c>
      <c r="I9" s="532"/>
      <c r="J9" s="506"/>
      <c r="K9" s="505"/>
      <c r="L9" s="229"/>
      <c r="M9" s="532"/>
      <c r="N9" s="506"/>
      <c r="O9" s="505"/>
      <c r="P9" s="229"/>
      <c r="Q9" s="532"/>
      <c r="R9" s="506"/>
      <c r="S9" s="505"/>
      <c r="T9" s="229"/>
      <c r="U9" s="532"/>
      <c r="V9" s="506"/>
      <c r="W9" s="505"/>
      <c r="X9" s="229"/>
      <c r="Y9" s="532"/>
      <c r="AA9" s="230">
        <v>0</v>
      </c>
      <c r="AB9" s="531"/>
      <c r="AC9" s="531"/>
      <c r="AD9" s="531"/>
      <c r="AE9" s="531"/>
      <c r="AF9" s="531"/>
    </row>
    <row r="10" spans="1:32" s="133" customFormat="1" ht="18" customHeight="1" x14ac:dyDescent="0.25">
      <c r="A10" s="477" t="s">
        <v>198</v>
      </c>
      <c r="B10" s="480">
        <v>39</v>
      </c>
      <c r="C10" s="443">
        <v>36</v>
      </c>
      <c r="D10" s="52">
        <v>32</v>
      </c>
      <c r="E10" s="53">
        <v>29</v>
      </c>
      <c r="F10" s="506">
        <v>0</v>
      </c>
      <c r="G10" s="505">
        <v>0</v>
      </c>
      <c r="H10" s="505">
        <v>0</v>
      </c>
      <c r="I10" s="532"/>
      <c r="J10" s="506"/>
      <c r="K10" s="505"/>
      <c r="L10" s="505"/>
      <c r="M10" s="532"/>
      <c r="N10" s="506"/>
      <c r="O10" s="505"/>
      <c r="P10" s="505"/>
      <c r="Q10" s="532"/>
      <c r="R10" s="506"/>
      <c r="S10" s="505"/>
      <c r="T10" s="505"/>
      <c r="U10" s="532"/>
      <c r="V10" s="506"/>
      <c r="W10" s="505"/>
      <c r="X10" s="505"/>
      <c r="Y10" s="532"/>
      <c r="AA10" s="54">
        <v>136</v>
      </c>
      <c r="AB10" s="531"/>
      <c r="AC10" s="531"/>
      <c r="AD10" s="531"/>
      <c r="AE10" s="531"/>
      <c r="AF10" s="531"/>
    </row>
    <row r="11" spans="1:32" s="133" customFormat="1" ht="18" customHeight="1" thickBot="1" x14ac:dyDescent="0.35">
      <c r="A11" s="478" t="s">
        <v>4</v>
      </c>
      <c r="B11" s="324">
        <f t="shared" ref="B11:D11" si="4">SUM(B5:B10)</f>
        <v>2269</v>
      </c>
      <c r="C11" s="446">
        <f t="shared" si="4"/>
        <v>2290</v>
      </c>
      <c r="D11" s="137">
        <f t="shared" si="4"/>
        <v>2445</v>
      </c>
      <c r="E11" s="77">
        <v>2403</v>
      </c>
      <c r="F11" s="324">
        <v>2094</v>
      </c>
      <c r="G11" s="446">
        <v>2217</v>
      </c>
      <c r="H11" s="137">
        <v>2265</v>
      </c>
      <c r="I11" s="77">
        <v>2301</v>
      </c>
      <c r="J11" s="324">
        <f>SUM(J5:J10)</f>
        <v>2021</v>
      </c>
      <c r="K11" s="446">
        <f>SUM(K5:K8)</f>
        <v>1817</v>
      </c>
      <c r="L11" s="137">
        <f>SUM(L5:L8)</f>
        <v>2267</v>
      </c>
      <c r="M11" s="77">
        <f>SUM(M5:M8)</f>
        <v>2507</v>
      </c>
      <c r="N11" s="324">
        <f>SUM(N5:N10)</f>
        <v>2567</v>
      </c>
      <c r="O11" s="446">
        <f>SUM(O5:O8)</f>
        <v>2596</v>
      </c>
      <c r="P11" s="137">
        <f>SUM(P5:P8)</f>
        <v>2861</v>
      </c>
      <c r="Q11" s="77">
        <f>SUM(Q5:Q8)</f>
        <v>3039</v>
      </c>
      <c r="R11" s="324">
        <f>SUM(R5:R10)</f>
        <v>3136</v>
      </c>
      <c r="S11" s="446">
        <f>SUM(S5:S8)</f>
        <v>3312</v>
      </c>
      <c r="T11" s="137">
        <f>SUM(T5:T8)</f>
        <v>3445</v>
      </c>
      <c r="U11" s="77">
        <f>SUM(U5:U8)</f>
        <v>3312</v>
      </c>
      <c r="V11" s="324">
        <v>3121</v>
      </c>
      <c r="W11" s="446">
        <v>3299</v>
      </c>
      <c r="X11" s="137"/>
      <c r="Y11" s="77"/>
      <c r="AA11" s="78">
        <v>9407</v>
      </c>
      <c r="AB11" s="78">
        <v>8877</v>
      </c>
      <c r="AC11" s="78">
        <f t="shared" si="3"/>
        <v>8612</v>
      </c>
      <c r="AD11" s="78">
        <f>N11+O11+P11+Q11</f>
        <v>11063</v>
      </c>
      <c r="AE11" s="78">
        <f>SUM(R11:U11)</f>
        <v>13205</v>
      </c>
      <c r="AF11" s="78">
        <f>SUM(V11:Y11)</f>
        <v>6420</v>
      </c>
    </row>
    <row r="12" spans="1:32" s="133" customFormat="1" x14ac:dyDescent="0.25">
      <c r="A12" s="5"/>
      <c r="C12" s="87"/>
    </row>
    <row r="13" spans="1:32" s="133" customFormat="1" x14ac:dyDescent="0.25">
      <c r="A13" s="481" t="s">
        <v>199</v>
      </c>
      <c r="C13" s="87"/>
    </row>
    <row r="14" spans="1:32" s="133" customFormat="1" x14ac:dyDescent="0.25">
      <c r="C14" s="87"/>
    </row>
    <row r="15" spans="1:32" s="133" customFormat="1" ht="14.5" thickBot="1" x14ac:dyDescent="0.35">
      <c r="A15" s="1" t="s">
        <v>245</v>
      </c>
      <c r="C15" s="87"/>
      <c r="AF15" s="535" t="s">
        <v>222</v>
      </c>
    </row>
    <row r="16" spans="1:32" s="133" customFormat="1" ht="13.5" thickBot="1" x14ac:dyDescent="0.3">
      <c r="A16" s="11" t="s">
        <v>5</v>
      </c>
      <c r="C16" s="87"/>
      <c r="N16" s="220" t="s">
        <v>234</v>
      </c>
      <c r="O16" s="221" t="s">
        <v>235</v>
      </c>
      <c r="P16" s="221" t="s">
        <v>236</v>
      </c>
      <c r="Q16" s="108" t="s">
        <v>237</v>
      </c>
      <c r="R16" s="220" t="s">
        <v>241</v>
      </c>
      <c r="S16" s="221" t="s">
        <v>242</v>
      </c>
      <c r="T16" s="221" t="str">
        <f>T4</f>
        <v>Q3 2022</v>
      </c>
      <c r="U16" s="108" t="s">
        <v>244</v>
      </c>
      <c r="V16" s="220" t="s">
        <v>270</v>
      </c>
      <c r="W16" s="221" t="s">
        <v>271</v>
      </c>
      <c r="X16" s="221" t="s">
        <v>272</v>
      </c>
      <c r="Y16" s="108" t="s">
        <v>273</v>
      </c>
      <c r="AD16" s="12">
        <v>2021</v>
      </c>
      <c r="AE16" s="12">
        <v>2022</v>
      </c>
      <c r="AF16" s="12">
        <v>2023</v>
      </c>
    </row>
    <row r="17" spans="1:32" s="133" customFormat="1" x14ac:dyDescent="0.25">
      <c r="A17" s="475" t="s">
        <v>249</v>
      </c>
      <c r="C17" s="87"/>
      <c r="N17" s="466">
        <v>1468</v>
      </c>
      <c r="O17" s="442">
        <v>1518</v>
      </c>
      <c r="P17" s="277">
        <v>1631</v>
      </c>
      <c r="Q17" s="533">
        <v>1708</v>
      </c>
      <c r="R17" s="466">
        <v>1680</v>
      </c>
      <c r="S17" s="585">
        <v>1829</v>
      </c>
      <c r="T17" s="57">
        <v>1876</v>
      </c>
      <c r="U17" s="533">
        <v>1876</v>
      </c>
      <c r="V17" s="466">
        <v>1491</v>
      </c>
      <c r="W17" s="585">
        <v>1679</v>
      </c>
      <c r="X17" s="57"/>
      <c r="Y17" s="533"/>
      <c r="AA17" s="57"/>
      <c r="AD17" s="531">
        <v>6325</v>
      </c>
      <c r="AE17" s="531">
        <f>R17+S17+T17+U17</f>
        <v>7261</v>
      </c>
      <c r="AF17" s="531">
        <f t="shared" ref="AF17:AF20" si="5">SUM(V17:Y17)</f>
        <v>3170</v>
      </c>
    </row>
    <row r="18" spans="1:32" s="133" customFormat="1" ht="25" x14ac:dyDescent="0.25">
      <c r="A18" s="476" t="s">
        <v>250</v>
      </c>
      <c r="C18" s="87"/>
      <c r="N18" s="480">
        <v>1064</v>
      </c>
      <c r="O18" s="443">
        <v>1040</v>
      </c>
      <c r="P18" s="52">
        <v>1191</v>
      </c>
      <c r="Q18" s="532">
        <v>1292</v>
      </c>
      <c r="R18" s="480">
        <v>1412</v>
      </c>
      <c r="S18" s="585">
        <v>1441</v>
      </c>
      <c r="T18" s="57">
        <v>1525</v>
      </c>
      <c r="U18" s="532">
        <v>1397</v>
      </c>
      <c r="V18" s="480">
        <v>1594</v>
      </c>
      <c r="W18" s="585">
        <v>1596</v>
      </c>
      <c r="X18" s="57"/>
      <c r="Y18" s="532"/>
      <c r="AA18" s="57"/>
      <c r="AD18" s="531">
        <v>4587</v>
      </c>
      <c r="AE18" s="531">
        <f t="shared" ref="AE18:AE20" si="6">R18+S18+T18+U18</f>
        <v>5775</v>
      </c>
      <c r="AF18" s="531">
        <f t="shared" si="5"/>
        <v>3190</v>
      </c>
    </row>
    <row r="19" spans="1:32" s="133" customFormat="1" x14ac:dyDescent="0.25">
      <c r="A19" s="477" t="s">
        <v>152</v>
      </c>
      <c r="C19" s="87"/>
      <c r="N19" s="480">
        <v>35</v>
      </c>
      <c r="O19" s="443">
        <v>38</v>
      </c>
      <c r="P19" s="52">
        <v>39</v>
      </c>
      <c r="Q19" s="532">
        <v>39</v>
      </c>
      <c r="R19" s="480">
        <v>44</v>
      </c>
      <c r="S19" s="585">
        <v>42</v>
      </c>
      <c r="T19" s="57">
        <v>44</v>
      </c>
      <c r="U19" s="532">
        <v>39</v>
      </c>
      <c r="V19" s="480">
        <v>36</v>
      </c>
      <c r="W19" s="585">
        <v>24</v>
      </c>
      <c r="X19" s="57"/>
      <c r="Y19" s="532"/>
      <c r="AA19" s="57"/>
      <c r="AD19" s="531">
        <v>151</v>
      </c>
      <c r="AE19" s="531">
        <f t="shared" si="6"/>
        <v>169</v>
      </c>
      <c r="AF19" s="531">
        <f t="shared" si="5"/>
        <v>60</v>
      </c>
    </row>
    <row r="20" spans="1:32" s="133" customFormat="1" ht="13.5" thickBot="1" x14ac:dyDescent="0.35">
      <c r="A20" s="478" t="s">
        <v>4</v>
      </c>
      <c r="C20" s="87"/>
      <c r="N20" s="324">
        <v>2567</v>
      </c>
      <c r="O20" s="446">
        <v>2596</v>
      </c>
      <c r="P20" s="137">
        <v>2861</v>
      </c>
      <c r="Q20" s="77">
        <v>3039</v>
      </c>
      <c r="R20" s="324">
        <f>SUM(R17:R19)</f>
        <v>3136</v>
      </c>
      <c r="S20" s="446">
        <f>SUM(S17:S19)</f>
        <v>3312</v>
      </c>
      <c r="T20" s="589">
        <f>SUM(T17:T19)</f>
        <v>3445</v>
      </c>
      <c r="U20" s="77">
        <v>3312</v>
      </c>
      <c r="V20" s="324">
        <v>3121</v>
      </c>
      <c r="W20" s="446">
        <v>3299</v>
      </c>
      <c r="X20" s="589"/>
      <c r="Y20" s="77"/>
      <c r="AA20" s="57"/>
      <c r="AD20" s="78">
        <v>11063</v>
      </c>
      <c r="AE20" s="78">
        <f t="shared" si="6"/>
        <v>13205</v>
      </c>
      <c r="AF20" s="78">
        <f t="shared" si="5"/>
        <v>6420</v>
      </c>
    </row>
    <row r="21" spans="1:32" s="133" customFormat="1" x14ac:dyDescent="0.25">
      <c r="C21" s="87"/>
    </row>
    <row r="22" spans="1:32" s="133" customFormat="1" x14ac:dyDescent="0.25">
      <c r="C22" s="87"/>
    </row>
    <row r="23" spans="1:32" s="133" customFormat="1" ht="14.5" thickBot="1" x14ac:dyDescent="0.35">
      <c r="A23" s="1" t="s">
        <v>251</v>
      </c>
      <c r="C23" s="87"/>
      <c r="N23" s="1"/>
      <c r="O23" s="1"/>
      <c r="P23" s="1"/>
      <c r="Q23" s="1"/>
      <c r="AF23" s="535" t="s">
        <v>222</v>
      </c>
    </row>
    <row r="24" spans="1:32" s="133" customFormat="1" ht="13.5" thickBot="1" x14ac:dyDescent="0.3">
      <c r="A24" s="11" t="s">
        <v>5</v>
      </c>
      <c r="C24" s="87"/>
      <c r="N24" s="220" t="s">
        <v>234</v>
      </c>
      <c r="O24" s="221" t="s">
        <v>235</v>
      </c>
      <c r="P24" s="221" t="s">
        <v>236</v>
      </c>
      <c r="Q24" s="108" t="s">
        <v>237</v>
      </c>
      <c r="R24" s="220" t="s">
        <v>241</v>
      </c>
      <c r="S24" s="221" t="s">
        <v>242</v>
      </c>
      <c r="T24" s="221" t="str">
        <f>T16</f>
        <v>Q3 2022</v>
      </c>
      <c r="U24" s="108" t="s">
        <v>244</v>
      </c>
      <c r="V24" s="220" t="s">
        <v>270</v>
      </c>
      <c r="W24" s="221" t="s">
        <v>271</v>
      </c>
      <c r="X24" s="221" t="s">
        <v>272</v>
      </c>
      <c r="Y24" s="108" t="s">
        <v>273</v>
      </c>
      <c r="AD24" s="12">
        <v>2021</v>
      </c>
      <c r="AE24" s="12">
        <v>2022</v>
      </c>
      <c r="AF24" s="12">
        <v>2023</v>
      </c>
    </row>
    <row r="25" spans="1:32" s="133" customFormat="1" x14ac:dyDescent="0.25">
      <c r="A25" s="475" t="s">
        <v>259</v>
      </c>
      <c r="C25" s="87"/>
      <c r="N25" s="466">
        <v>963</v>
      </c>
      <c r="O25" s="442">
        <v>980</v>
      </c>
      <c r="P25" s="277">
        <v>1087</v>
      </c>
      <c r="Q25" s="533">
        <v>1150</v>
      </c>
      <c r="R25" s="466">
        <v>1069</v>
      </c>
      <c r="S25" s="442">
        <v>1173</v>
      </c>
      <c r="T25" s="590">
        <v>1260</v>
      </c>
      <c r="U25" s="533">
        <v>1198</v>
      </c>
      <c r="V25" s="466">
        <v>947</v>
      </c>
      <c r="W25" s="442">
        <v>1031</v>
      </c>
      <c r="X25" s="590"/>
      <c r="Y25" s="533"/>
      <c r="AD25" s="531">
        <f>SUM(N25:Q25)</f>
        <v>4180</v>
      </c>
      <c r="AE25" s="531">
        <f t="shared" ref="AE25:AE29" si="7">R25+S25+T25+U25</f>
        <v>4700</v>
      </c>
      <c r="AF25" s="531">
        <f t="shared" ref="AF25:AF29" si="8">SUM(V25:Y25)</f>
        <v>1978</v>
      </c>
    </row>
    <row r="26" spans="1:32" s="133" customFormat="1" x14ac:dyDescent="0.25">
      <c r="A26" s="476" t="s">
        <v>260</v>
      </c>
      <c r="C26" s="87"/>
      <c r="N26" s="480">
        <v>805</v>
      </c>
      <c r="O26" s="443">
        <v>809</v>
      </c>
      <c r="P26" s="52">
        <v>892</v>
      </c>
      <c r="Q26" s="532">
        <v>965</v>
      </c>
      <c r="R26" s="480">
        <v>998</v>
      </c>
      <c r="S26" s="443">
        <v>1036</v>
      </c>
      <c r="T26" s="591">
        <v>1046</v>
      </c>
      <c r="U26" s="532">
        <v>1085</v>
      </c>
      <c r="V26" s="480">
        <v>975</v>
      </c>
      <c r="W26" s="443">
        <v>958</v>
      </c>
      <c r="X26" s="591"/>
      <c r="Y26" s="532"/>
      <c r="AD26" s="531">
        <f t="shared" ref="AD26:AD29" si="9">SUM(N26:Q26)</f>
        <v>3471</v>
      </c>
      <c r="AE26" s="531">
        <f t="shared" si="7"/>
        <v>4165</v>
      </c>
      <c r="AF26" s="531">
        <f t="shared" si="8"/>
        <v>1933</v>
      </c>
    </row>
    <row r="27" spans="1:32" s="133" customFormat="1" x14ac:dyDescent="0.25">
      <c r="A27" s="476" t="s">
        <v>261</v>
      </c>
      <c r="C27" s="87"/>
      <c r="N27" s="480">
        <v>478</v>
      </c>
      <c r="O27" s="443">
        <v>471</v>
      </c>
      <c r="P27" s="52">
        <v>536</v>
      </c>
      <c r="Q27" s="532">
        <v>551</v>
      </c>
      <c r="R27" s="480">
        <v>638</v>
      </c>
      <c r="S27" s="443">
        <v>668</v>
      </c>
      <c r="T27" s="591">
        <v>672</v>
      </c>
      <c r="U27" s="532">
        <v>604</v>
      </c>
      <c r="V27" s="480">
        <v>725</v>
      </c>
      <c r="W27" s="443">
        <v>797</v>
      </c>
      <c r="X27" s="591"/>
      <c r="Y27" s="532"/>
      <c r="AD27" s="531">
        <f t="shared" si="9"/>
        <v>2036</v>
      </c>
      <c r="AE27" s="531">
        <f t="shared" si="7"/>
        <v>2582</v>
      </c>
      <c r="AF27" s="531">
        <f t="shared" si="8"/>
        <v>1522</v>
      </c>
    </row>
    <row r="28" spans="1:32" s="133" customFormat="1" x14ac:dyDescent="0.25">
      <c r="A28" s="477" t="s">
        <v>252</v>
      </c>
      <c r="C28" s="87"/>
      <c r="N28" s="480">
        <v>321</v>
      </c>
      <c r="O28" s="443">
        <v>336</v>
      </c>
      <c r="P28" s="52">
        <v>346</v>
      </c>
      <c r="Q28" s="532">
        <v>373</v>
      </c>
      <c r="R28" s="480">
        <v>431</v>
      </c>
      <c r="S28" s="443">
        <v>435</v>
      </c>
      <c r="T28" s="591">
        <v>467</v>
      </c>
      <c r="U28" s="532">
        <v>425</v>
      </c>
      <c r="V28" s="480">
        <v>474</v>
      </c>
      <c r="W28" s="443">
        <v>513</v>
      </c>
      <c r="X28" s="591"/>
      <c r="Y28" s="532"/>
      <c r="AD28" s="531">
        <f t="shared" si="9"/>
        <v>1376</v>
      </c>
      <c r="AE28" s="531">
        <f t="shared" si="7"/>
        <v>1758</v>
      </c>
      <c r="AF28" s="531">
        <f t="shared" si="8"/>
        <v>987</v>
      </c>
    </row>
    <row r="29" spans="1:32" s="133" customFormat="1" ht="13.5" thickBot="1" x14ac:dyDescent="0.35">
      <c r="A29" s="478" t="s">
        <v>4</v>
      </c>
      <c r="C29" s="87"/>
      <c r="N29" s="324">
        <v>2567</v>
      </c>
      <c r="O29" s="446">
        <v>2596</v>
      </c>
      <c r="P29" s="137">
        <v>2861</v>
      </c>
      <c r="Q29" s="77">
        <v>3039</v>
      </c>
      <c r="R29" s="324">
        <f>SUM(R25:R28)</f>
        <v>3136</v>
      </c>
      <c r="S29" s="446">
        <f>SUM(S25:S28)</f>
        <v>3312</v>
      </c>
      <c r="T29" s="589">
        <f>SUM(T25:T28)</f>
        <v>3445</v>
      </c>
      <c r="U29" s="77">
        <f>SUM(U25:U28)</f>
        <v>3312</v>
      </c>
      <c r="V29" s="324">
        <v>3121</v>
      </c>
      <c r="W29" s="446">
        <v>3299</v>
      </c>
      <c r="X29" s="589"/>
      <c r="Y29" s="77"/>
      <c r="AD29" s="78">
        <f t="shared" si="9"/>
        <v>11063</v>
      </c>
      <c r="AE29" s="78">
        <f t="shared" si="7"/>
        <v>13205</v>
      </c>
      <c r="AF29" s="78">
        <f t="shared" si="8"/>
        <v>6420</v>
      </c>
    </row>
    <row r="30" spans="1:32" s="133" customFormat="1" x14ac:dyDescent="0.25">
      <c r="C30" s="87"/>
      <c r="O30" s="443"/>
      <c r="P30" s="592"/>
    </row>
    <row r="31" spans="1:32" s="133" customFormat="1" ht="14.5" thickBot="1" x14ac:dyDescent="0.35">
      <c r="A31" s="1" t="s">
        <v>105</v>
      </c>
      <c r="C31" s="87"/>
    </row>
    <row r="32" spans="1:32" s="3" customFormat="1" ht="14.25" customHeight="1" thickBot="1" x14ac:dyDescent="0.35">
      <c r="A32" s="11" t="s">
        <v>5</v>
      </c>
      <c r="B32" s="220" t="s">
        <v>187</v>
      </c>
      <c r="C32" s="451" t="s">
        <v>188</v>
      </c>
      <c r="D32" s="451" t="s">
        <v>189</v>
      </c>
      <c r="E32" s="108" t="s">
        <v>190</v>
      </c>
      <c r="F32" s="334"/>
      <c r="G32" s="334"/>
      <c r="H32" s="334"/>
      <c r="I32" s="334"/>
      <c r="J32" s="334"/>
      <c r="K32" s="334"/>
      <c r="L32" s="334"/>
      <c r="M32" s="334"/>
      <c r="N32" s="334"/>
      <c r="O32" s="334"/>
      <c r="P32" s="334"/>
      <c r="Q32" s="334"/>
      <c r="R32" s="334"/>
      <c r="S32" s="334"/>
      <c r="T32" s="334"/>
      <c r="U32" s="334"/>
      <c r="V32" s="334"/>
      <c r="W32" s="334"/>
      <c r="X32" s="334"/>
      <c r="Y32" s="334"/>
      <c r="AA32" s="12">
        <v>2018</v>
      </c>
    </row>
    <row r="33" spans="1:27" s="2" customFormat="1" ht="14.25" customHeight="1" x14ac:dyDescent="0.25">
      <c r="A33" s="148" t="s">
        <v>116</v>
      </c>
      <c r="B33" s="466">
        <v>2166</v>
      </c>
      <c r="C33" s="442">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59"/>
      <c r="AA33" s="54">
        <v>9022</v>
      </c>
    </row>
    <row r="34" spans="1:27" s="2" customFormat="1" ht="14.25" customHeight="1" x14ac:dyDescent="0.25">
      <c r="A34" s="7" t="s">
        <v>1</v>
      </c>
      <c r="B34" s="467" t="s">
        <v>97</v>
      </c>
      <c r="C34" s="462" t="s">
        <v>97</v>
      </c>
      <c r="D34" s="462" t="s">
        <v>97</v>
      </c>
      <c r="E34" s="501">
        <v>0</v>
      </c>
      <c r="F34" s="509"/>
      <c r="G34" s="509"/>
      <c r="H34" s="509"/>
      <c r="I34" s="509"/>
      <c r="J34" s="509"/>
      <c r="K34" s="509"/>
      <c r="L34" s="509"/>
      <c r="M34" s="509"/>
      <c r="N34" s="509"/>
      <c r="O34" s="509"/>
      <c r="P34" s="509"/>
      <c r="Q34" s="509"/>
      <c r="R34" s="509"/>
      <c r="S34" s="509"/>
      <c r="T34" s="509"/>
      <c r="U34" s="509"/>
      <c r="V34" s="509"/>
      <c r="W34" s="509"/>
      <c r="X34" s="509"/>
      <c r="Y34" s="509"/>
      <c r="Z34" s="59"/>
      <c r="AA34" s="504">
        <v>0</v>
      </c>
    </row>
    <row r="35" spans="1:27" s="2" customFormat="1" ht="14.25" customHeight="1" x14ac:dyDescent="0.25">
      <c r="A35" s="5" t="s">
        <v>16</v>
      </c>
      <c r="B35" s="321">
        <v>2166</v>
      </c>
      <c r="C35" s="443">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59"/>
      <c r="AA35" s="54">
        <v>9022</v>
      </c>
    </row>
    <row r="36" spans="1:27" s="2" customFormat="1" ht="14.25" customHeight="1" x14ac:dyDescent="0.25">
      <c r="A36" s="5"/>
      <c r="B36" s="321"/>
      <c r="C36" s="443"/>
      <c r="D36" s="52"/>
      <c r="E36" s="230"/>
      <c r="F36" s="231"/>
      <c r="G36" s="231"/>
      <c r="H36" s="231"/>
      <c r="I36" s="231"/>
      <c r="J36" s="231"/>
      <c r="K36" s="231"/>
      <c r="L36" s="231"/>
      <c r="M36" s="231"/>
      <c r="N36" s="231"/>
      <c r="O36" s="231"/>
      <c r="P36" s="231"/>
      <c r="Q36" s="231"/>
      <c r="R36" s="231"/>
      <c r="S36" s="231"/>
      <c r="T36" s="231"/>
      <c r="U36" s="231"/>
      <c r="V36" s="231"/>
      <c r="W36" s="231"/>
      <c r="X36" s="231"/>
      <c r="Y36" s="231"/>
      <c r="Z36" s="59"/>
      <c r="AA36" s="54"/>
    </row>
    <row r="37" spans="1:27" s="2" customFormat="1" ht="14.25" customHeight="1" x14ac:dyDescent="0.25">
      <c r="A37" s="5" t="s">
        <v>2</v>
      </c>
      <c r="B37" s="322">
        <v>103</v>
      </c>
      <c r="C37" s="444">
        <v>97</v>
      </c>
      <c r="D37" s="237">
        <v>94</v>
      </c>
      <c r="E37" s="502">
        <v>91</v>
      </c>
      <c r="F37" s="510"/>
      <c r="G37" s="510"/>
      <c r="H37" s="510"/>
      <c r="I37" s="510"/>
      <c r="J37" s="510"/>
      <c r="K37" s="510"/>
      <c r="L37" s="510"/>
      <c r="M37" s="510"/>
      <c r="N37" s="510"/>
      <c r="O37" s="510"/>
      <c r="P37" s="510"/>
      <c r="Q37" s="510"/>
      <c r="R37" s="510"/>
      <c r="S37" s="510"/>
      <c r="T37" s="510"/>
      <c r="U37" s="510"/>
      <c r="V37" s="510"/>
      <c r="W37" s="510"/>
      <c r="X37" s="510"/>
      <c r="Y37" s="510"/>
      <c r="Z37" s="59"/>
      <c r="AA37" s="54">
        <v>385</v>
      </c>
    </row>
    <row r="38" spans="1:27" s="2" customFormat="1" ht="14.25" customHeight="1" x14ac:dyDescent="0.25">
      <c r="A38" s="5" t="s">
        <v>3</v>
      </c>
      <c r="B38" s="323" t="s">
        <v>97</v>
      </c>
      <c r="C38" s="445">
        <v>0</v>
      </c>
      <c r="D38" s="276">
        <v>0</v>
      </c>
      <c r="E38" s="260">
        <v>0</v>
      </c>
      <c r="F38" s="508"/>
      <c r="G38" s="508"/>
      <c r="H38" s="508"/>
      <c r="I38" s="508"/>
      <c r="J38" s="508"/>
      <c r="K38" s="508"/>
      <c r="L38" s="508"/>
      <c r="M38" s="508"/>
      <c r="N38" s="508"/>
      <c r="O38" s="508"/>
      <c r="P38" s="508"/>
      <c r="Q38" s="508"/>
      <c r="R38" s="508"/>
      <c r="S38" s="508"/>
      <c r="T38" s="508"/>
      <c r="U38" s="508"/>
      <c r="V38" s="508"/>
      <c r="W38" s="508"/>
      <c r="X38" s="508"/>
      <c r="Y38" s="508"/>
      <c r="Z38" s="59"/>
      <c r="AA38" s="232">
        <v>0</v>
      </c>
    </row>
    <row r="39" spans="1:27" s="2" customFormat="1" ht="14.25" customHeight="1" thickBot="1" x14ac:dyDescent="0.35">
      <c r="A39" s="21" t="s">
        <v>4</v>
      </c>
      <c r="B39" s="324">
        <v>2269</v>
      </c>
      <c r="C39" s="446">
        <v>2290</v>
      </c>
      <c r="D39" s="137">
        <v>2445</v>
      </c>
      <c r="E39" s="503">
        <v>2403</v>
      </c>
      <c r="F39" s="511"/>
      <c r="G39" s="511"/>
      <c r="H39" s="511"/>
      <c r="I39" s="511"/>
      <c r="J39" s="511"/>
      <c r="K39" s="511"/>
      <c r="L39" s="511"/>
      <c r="M39" s="511"/>
      <c r="N39" s="511"/>
      <c r="O39" s="511"/>
      <c r="P39" s="511"/>
      <c r="Q39" s="511"/>
      <c r="R39" s="511"/>
      <c r="S39" s="511"/>
      <c r="T39" s="511"/>
      <c r="U39" s="511"/>
      <c r="V39" s="511"/>
      <c r="W39" s="511"/>
      <c r="X39" s="511"/>
      <c r="Y39" s="511"/>
      <c r="Z39" s="55"/>
      <c r="AA39" s="78">
        <v>9407</v>
      </c>
    </row>
    <row r="40" spans="1:27" s="2" customFormat="1" ht="14.25" customHeight="1" x14ac:dyDescent="0.3">
      <c r="A40" s="104"/>
      <c r="B40" s="105"/>
      <c r="C40" s="447"/>
      <c r="D40" s="105"/>
      <c r="E40" s="105"/>
      <c r="F40" s="105"/>
      <c r="G40" s="105"/>
      <c r="H40" s="105"/>
      <c r="I40" s="105"/>
      <c r="J40" s="105"/>
      <c r="K40" s="105"/>
      <c r="L40" s="105"/>
      <c r="M40" s="105"/>
      <c r="N40" s="105"/>
      <c r="O40" s="105"/>
      <c r="P40" s="105"/>
      <c r="Q40" s="105"/>
      <c r="R40" s="105"/>
      <c r="S40" s="105"/>
      <c r="T40" s="105"/>
      <c r="U40" s="105"/>
      <c r="V40" s="105"/>
      <c r="W40" s="105"/>
      <c r="X40" s="105"/>
      <c r="Y40" s="105"/>
      <c r="Z40" s="55"/>
      <c r="AA40" s="105"/>
    </row>
    <row r="41" spans="1:27" ht="14" x14ac:dyDescent="0.25">
      <c r="A41" s="249" t="s">
        <v>151</v>
      </c>
      <c r="C41" s="87"/>
    </row>
    <row r="42" spans="1:27" ht="14.5" thickBot="1" x14ac:dyDescent="0.35">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Z42" s="2"/>
      <c r="AA42" s="2"/>
    </row>
    <row r="43" spans="1:27" ht="13.5" thickBot="1" x14ac:dyDescent="0.35">
      <c r="A43" s="11" t="s">
        <v>5</v>
      </c>
      <c r="B43" s="220" t="s">
        <v>187</v>
      </c>
      <c r="C43" s="451" t="s">
        <v>188</v>
      </c>
      <c r="D43" s="451" t="s">
        <v>189</v>
      </c>
      <c r="E43" s="108" t="s">
        <v>190</v>
      </c>
      <c r="F43" s="334"/>
      <c r="G43" s="334"/>
      <c r="H43" s="334"/>
      <c r="I43" s="334"/>
      <c r="J43" s="334"/>
      <c r="K43" s="334"/>
      <c r="L43" s="334"/>
      <c r="M43" s="334"/>
      <c r="N43" s="334"/>
      <c r="O43" s="334"/>
      <c r="P43" s="334"/>
      <c r="Q43" s="334"/>
      <c r="R43" s="334"/>
      <c r="S43" s="334"/>
      <c r="T43" s="334"/>
      <c r="U43" s="334"/>
      <c r="V43" s="334"/>
      <c r="W43" s="334"/>
      <c r="X43" s="334"/>
      <c r="Y43" s="334"/>
      <c r="Z43" s="3"/>
      <c r="AA43" s="12">
        <v>2018</v>
      </c>
    </row>
    <row r="44" spans="1:27" x14ac:dyDescent="0.25">
      <c r="A44" s="5" t="s">
        <v>13</v>
      </c>
      <c r="B44" s="325">
        <v>995</v>
      </c>
      <c r="C44" s="448">
        <v>1008</v>
      </c>
      <c r="D44" s="278">
        <v>990</v>
      </c>
      <c r="E44" s="129">
        <v>960</v>
      </c>
      <c r="F44" s="46"/>
      <c r="G44" s="46"/>
      <c r="H44" s="46"/>
      <c r="I44" s="46"/>
      <c r="J44" s="46"/>
      <c r="K44" s="46"/>
      <c r="L44" s="46"/>
      <c r="M44" s="46"/>
      <c r="N44" s="46"/>
      <c r="O44" s="46"/>
      <c r="P44" s="46"/>
      <c r="Q44" s="46"/>
      <c r="R44" s="46"/>
      <c r="S44" s="46"/>
      <c r="T44" s="46"/>
      <c r="U44" s="46"/>
      <c r="V44" s="46"/>
      <c r="W44" s="46"/>
      <c r="X44" s="46"/>
      <c r="Y44" s="46"/>
      <c r="Z44" s="60"/>
      <c r="AA44" s="44">
        <v>3953</v>
      </c>
    </row>
    <row r="45" spans="1:27" ht="5.25" customHeight="1" x14ac:dyDescent="0.25">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60"/>
      <c r="AA45" s="44"/>
    </row>
    <row r="46" spans="1:27" ht="13.5" customHeight="1" x14ac:dyDescent="0.25">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60"/>
      <c r="AA46" s="44">
        <v>554</v>
      </c>
    </row>
    <row r="47" spans="1:27" ht="5.25" customHeight="1" x14ac:dyDescent="0.25">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60"/>
      <c r="AA47" s="44"/>
    </row>
    <row r="48" spans="1:27" x14ac:dyDescent="0.25">
      <c r="A48" s="148" t="s">
        <v>149</v>
      </c>
      <c r="B48" s="319">
        <v>633</v>
      </c>
      <c r="C48" s="449">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59"/>
      <c r="AA48" s="103">
        <v>2723</v>
      </c>
    </row>
    <row r="49" spans="1:27" ht="5.25" customHeight="1" x14ac:dyDescent="0.25">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60"/>
      <c r="AA49" s="44"/>
    </row>
    <row r="50" spans="1:27" x14ac:dyDescent="0.25">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60"/>
      <c r="AA50" s="44">
        <v>1792</v>
      </c>
    </row>
    <row r="51" spans="1:27" ht="5.25" customHeight="1" x14ac:dyDescent="0.25">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60"/>
      <c r="AA51" s="44"/>
    </row>
    <row r="52" spans="1:27" ht="13.5" thickBot="1" x14ac:dyDescent="0.3">
      <c r="A52" s="20" t="s">
        <v>15</v>
      </c>
      <c r="B52" s="326">
        <v>2166</v>
      </c>
      <c r="C52" s="450">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60"/>
      <c r="AA52" s="80">
        <v>9022</v>
      </c>
    </row>
    <row r="53" spans="1:27" x14ac:dyDescent="0.25">
      <c r="C53" s="87"/>
    </row>
    <row r="54" spans="1:27" s="2" customFormat="1" ht="14" x14ac:dyDescent="0.25">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row>
    <row r="55" spans="1:27" s="2" customFormat="1" ht="14.5" thickBot="1" x14ac:dyDescent="0.35">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row>
    <row r="56" spans="1:27" s="2" customFormat="1" ht="13.5" thickBot="1" x14ac:dyDescent="0.3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
      <c r="AA56" s="345"/>
    </row>
    <row r="57" spans="1:27" s="2" customFormat="1" x14ac:dyDescent="0.25">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60"/>
      <c r="AA57" s="46"/>
    </row>
    <row r="58" spans="1:27" s="2" customFormat="1" ht="7.5" customHeight="1" x14ac:dyDescent="0.25">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60"/>
      <c r="AA58" s="46"/>
    </row>
    <row r="59" spans="1:27" s="2" customFormat="1" x14ac:dyDescent="0.25">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60"/>
      <c r="AA59" s="46"/>
    </row>
    <row r="60" spans="1:27" s="2" customFormat="1" ht="7.5" customHeight="1" x14ac:dyDescent="0.25">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60"/>
      <c r="AA60" s="46"/>
    </row>
    <row r="61" spans="1:27" s="2" customFormat="1" x14ac:dyDescent="0.25">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59"/>
      <c r="AA61" s="192"/>
    </row>
    <row r="62" spans="1:27" s="2" customFormat="1" ht="7.5" customHeight="1" x14ac:dyDescent="0.25">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60"/>
      <c r="AA62" s="46"/>
    </row>
    <row r="63" spans="1:27" s="2" customFormat="1" x14ac:dyDescent="0.25">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60"/>
      <c r="AA63" s="46"/>
    </row>
    <row r="64" spans="1:27" s="2" customFormat="1" ht="5.25" customHeight="1" x14ac:dyDescent="0.25">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60"/>
      <c r="AA64" s="46"/>
    </row>
    <row r="65" spans="1:27" s="2" customFormat="1" ht="13.5" thickBot="1" x14ac:dyDescent="0.3">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60"/>
      <c r="AA65" s="112"/>
    </row>
    <row r="66" spans="1:27" x14ac:dyDescent="0.25">
      <c r="E66" s="107"/>
      <c r="F66" s="107"/>
      <c r="G66" s="107"/>
      <c r="H66" s="107"/>
      <c r="I66" s="107"/>
      <c r="J66" s="107"/>
      <c r="K66" s="107"/>
      <c r="L66" s="107"/>
      <c r="M66" s="107"/>
      <c r="N66" s="107"/>
      <c r="O66" s="107"/>
      <c r="P66" s="107"/>
      <c r="Q66" s="107"/>
      <c r="R66" s="107"/>
      <c r="S66" s="107"/>
      <c r="T66" s="107"/>
      <c r="U66" s="107"/>
      <c r="V66" s="107"/>
      <c r="W66" s="107"/>
      <c r="X66" s="107"/>
      <c r="Y66" s="107"/>
      <c r="AA66" s="107"/>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E5:AE9 AD25 AD26:AD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138"/>
  <sheetViews>
    <sheetView zoomScale="85" zoomScaleNormal="85" workbookViewId="0">
      <pane xSplit="1" ySplit="4" topLeftCell="O20" activePane="bottomRight" state="frozen"/>
      <selection activeCell="N50" sqref="N50"/>
      <selection pane="topRight" activeCell="N50" sqref="N50"/>
      <selection pane="bottomLeft" activeCell="N50" sqref="N50"/>
      <selection pane="bottomRight" activeCell="W90" sqref="W90:W95"/>
    </sheetView>
  </sheetViews>
  <sheetFormatPr defaultRowHeight="12.5" outlineLevelCol="1" x14ac:dyDescent="0.25"/>
  <cols>
    <col min="1" max="1" width="41.54296875" customWidth="1"/>
    <col min="2" max="2" width="9.1796875" style="133" customWidth="1" outlineLevel="1"/>
    <col min="3" max="3" width="9.1796875" style="87" customWidth="1" outlineLevel="1"/>
    <col min="4" max="6" width="9.1796875" style="133" customWidth="1" outlineLevel="1"/>
    <col min="7" max="7" width="9" style="87" customWidth="1" outlineLevel="1"/>
    <col min="8" max="10" width="9.1796875" style="133" customWidth="1" outlineLevel="1"/>
    <col min="11" max="11" width="9" style="87" customWidth="1" outlineLevel="1"/>
    <col min="12" max="14" width="9.1796875" style="133" customWidth="1" outlineLevel="1"/>
    <col min="15" max="15" width="9" style="87" customWidth="1" outlineLevel="1"/>
    <col min="16" max="18" width="9.1796875" style="133" customWidth="1" outlineLevel="1"/>
    <col min="19" max="19" width="9" style="87" customWidth="1" outlineLevel="1"/>
    <col min="20" max="22" width="9.1796875" style="133" customWidth="1" outlineLevel="1"/>
    <col min="23" max="23" width="9" style="87" customWidth="1" outlineLevel="1"/>
    <col min="24" max="25" width="9.1796875" style="133" hidden="1" customWidth="1" outlineLevel="1"/>
    <col min="26" max="26" width="2.453125" customWidth="1"/>
    <col min="27" max="27" width="2.7265625" style="133" customWidth="1"/>
    <col min="28" max="31" width="9.1796875" style="133" customWidth="1"/>
    <col min="32" max="33" width="8.7265625" style="133" customWidth="1"/>
    <col min="36" max="36" width="35.1796875" customWidth="1"/>
  </cols>
  <sheetData>
    <row r="1" spans="1:36" s="156" customFormat="1" ht="14" x14ac:dyDescent="0.3">
      <c r="A1" s="138" t="s">
        <v>0</v>
      </c>
      <c r="C1" s="139"/>
      <c r="G1" s="139"/>
      <c r="K1" s="139"/>
      <c r="O1" s="139"/>
      <c r="S1" s="139"/>
      <c r="W1" s="139"/>
    </row>
    <row r="2" spans="1:36" s="156" customFormat="1" ht="14.5" thickBot="1" x14ac:dyDescent="0.35">
      <c r="A2" s="138" t="s">
        <v>106</v>
      </c>
      <c r="C2" s="139"/>
      <c r="G2" s="139"/>
      <c r="K2" s="139"/>
      <c r="O2" s="139"/>
      <c r="S2" s="139"/>
      <c r="W2" s="139"/>
      <c r="AG2" s="156" t="s">
        <v>222</v>
      </c>
    </row>
    <row r="3" spans="1:36" ht="13.5" thickBot="1" x14ac:dyDescent="0.3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3"/>
      <c r="AB3" s="253">
        <v>2018</v>
      </c>
      <c r="AC3" s="253">
        <v>2019</v>
      </c>
      <c r="AD3" s="253">
        <v>2020</v>
      </c>
      <c r="AE3" s="253">
        <v>2021</v>
      </c>
      <c r="AF3" s="253">
        <v>2022</v>
      </c>
      <c r="AG3" s="253">
        <v>2023</v>
      </c>
    </row>
    <row r="4" spans="1:36" x14ac:dyDescent="0.25">
      <c r="B4" s="171"/>
      <c r="C4" s="513"/>
      <c r="D4" s="163"/>
      <c r="E4" s="200"/>
      <c r="F4" s="171"/>
      <c r="G4" s="513"/>
      <c r="H4" s="163"/>
      <c r="I4" s="200"/>
      <c r="J4" s="171"/>
      <c r="K4" s="513"/>
      <c r="L4" s="163"/>
      <c r="M4" s="200"/>
      <c r="N4" s="171"/>
      <c r="O4" s="513"/>
      <c r="P4" s="163"/>
      <c r="Q4" s="200"/>
      <c r="R4" s="171"/>
      <c r="S4" s="513"/>
      <c r="T4" s="163"/>
      <c r="U4" s="200"/>
      <c r="V4" s="171"/>
      <c r="W4" s="513"/>
      <c r="X4" s="163"/>
      <c r="Y4" s="200"/>
      <c r="AB4" s="181"/>
      <c r="AC4" s="181"/>
      <c r="AD4" s="181"/>
      <c r="AE4" s="181"/>
      <c r="AF4" s="181"/>
      <c r="AG4" s="181"/>
      <c r="AJ4" s="133"/>
    </row>
    <row r="5" spans="1:36" x14ac:dyDescent="0.25">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v>3299</v>
      </c>
      <c r="X5" s="164"/>
      <c r="Y5" s="201"/>
      <c r="AA5" s="43"/>
      <c r="AB5" s="223">
        <v>9407</v>
      </c>
      <c r="AC5" s="223">
        <f>SUM(F5:I5)</f>
        <v>8877</v>
      </c>
      <c r="AD5" s="223">
        <v>8612</v>
      </c>
      <c r="AE5" s="223">
        <f>SUM(N5:Q5)</f>
        <v>11063</v>
      </c>
      <c r="AF5" s="223">
        <f>SUM(R5:U5)</f>
        <v>13205</v>
      </c>
      <c r="AG5" s="223">
        <f>SUM(V5:Y5)</f>
        <v>6420</v>
      </c>
      <c r="AJ5" s="133"/>
    </row>
    <row r="6" spans="1:36" x14ac:dyDescent="0.25">
      <c r="A6" s="153"/>
      <c r="B6" s="173"/>
      <c r="C6" s="193"/>
      <c r="D6" s="165"/>
      <c r="E6" s="202"/>
      <c r="F6" s="173"/>
      <c r="G6" s="193"/>
      <c r="H6" s="165"/>
      <c r="I6" s="202"/>
      <c r="J6" s="173"/>
      <c r="K6" s="193"/>
      <c r="L6" s="165"/>
      <c r="M6" s="202"/>
      <c r="N6" s="173"/>
      <c r="O6" s="193"/>
      <c r="P6" s="165"/>
      <c r="Q6" s="202"/>
      <c r="R6" s="173"/>
      <c r="S6" s="193"/>
      <c r="T6" s="165"/>
      <c r="U6" s="202"/>
      <c r="V6" s="173"/>
      <c r="W6" s="193"/>
      <c r="X6" s="165"/>
      <c r="Y6" s="202"/>
      <c r="AA6" s="43"/>
      <c r="AB6" s="184"/>
      <c r="AC6" s="184"/>
      <c r="AD6" s="184"/>
      <c r="AE6" s="184"/>
      <c r="AF6" s="184"/>
      <c r="AG6" s="184"/>
      <c r="AJ6" s="133"/>
    </row>
    <row r="7" spans="1:36" ht="12.75" customHeight="1" x14ac:dyDescent="0.25">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v>1881</v>
      </c>
      <c r="X7" s="164"/>
      <c r="Y7" s="201"/>
      <c r="AA7" s="43"/>
      <c r="AB7" s="223">
        <v>4851</v>
      </c>
      <c r="AC7" s="223">
        <f t="shared" ref="AC7:AC14" si="0">SUM(F7:I7)</f>
        <v>4618</v>
      </c>
      <c r="AD7" s="223">
        <v>4235</v>
      </c>
      <c r="AE7" s="223">
        <f t="shared" ref="AE7:AE14" si="1">SUM(N7:Q7)</f>
        <v>6067</v>
      </c>
      <c r="AF7" s="223">
        <f t="shared" ref="AF7:AF14" si="2">SUM(R7:U7)</f>
        <v>7517</v>
      </c>
      <c r="AG7" s="223">
        <f t="shared" ref="AG7:AG14" si="3">SUM(V7:Y7)</f>
        <v>3651</v>
      </c>
      <c r="AJ7" s="133"/>
    </row>
    <row r="8" spans="1:36" ht="12.75" customHeight="1" x14ac:dyDescent="0.25">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v>-14</v>
      </c>
      <c r="X8" s="165"/>
      <c r="Y8" s="202"/>
      <c r="AA8" s="353"/>
      <c r="AB8" s="224">
        <v>-78</v>
      </c>
      <c r="AC8" s="224">
        <f t="shared" si="0"/>
        <v>-84</v>
      </c>
      <c r="AD8" s="224">
        <v>-99</v>
      </c>
      <c r="AE8" s="224">
        <f t="shared" si="1"/>
        <v>-74</v>
      </c>
      <c r="AF8" s="224">
        <f t="shared" si="2"/>
        <v>-58</v>
      </c>
      <c r="AG8" s="224">
        <f t="shared" si="3"/>
        <v>-27</v>
      </c>
      <c r="AJ8" s="133"/>
    </row>
    <row r="9" spans="1:36" ht="12.75" customHeight="1" x14ac:dyDescent="0.25">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v>0</v>
      </c>
      <c r="X9" s="165"/>
      <c r="Y9" s="202"/>
      <c r="AA9" s="353"/>
      <c r="AB9" s="224">
        <v>0</v>
      </c>
      <c r="AC9" s="224">
        <f t="shared" si="0"/>
        <v>-3</v>
      </c>
      <c r="AD9" s="224">
        <v>-15</v>
      </c>
      <c r="AE9" s="224">
        <f t="shared" si="1"/>
        <v>0</v>
      </c>
      <c r="AF9" s="224">
        <f t="shared" si="2"/>
        <v>3</v>
      </c>
      <c r="AG9" s="224">
        <f t="shared" si="3"/>
        <v>2</v>
      </c>
      <c r="AJ9" s="133"/>
    </row>
    <row r="10" spans="1:36" s="133" customFormat="1" ht="12.75" customHeight="1" x14ac:dyDescent="0.25">
      <c r="A10" s="154" t="s">
        <v>322</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v>-13</v>
      </c>
      <c r="X10" s="165"/>
      <c r="Y10" s="202"/>
      <c r="AA10" s="353"/>
      <c r="AB10" s="224">
        <v>-40</v>
      </c>
      <c r="AC10" s="224">
        <f t="shared" si="0"/>
        <v>-42</v>
      </c>
      <c r="AD10" s="224">
        <v>-45</v>
      </c>
      <c r="AE10" s="224">
        <f t="shared" si="1"/>
        <v>-45</v>
      </c>
      <c r="AF10" s="224">
        <f t="shared" si="2"/>
        <v>-47</v>
      </c>
      <c r="AG10" s="224">
        <f t="shared" si="3"/>
        <v>-26</v>
      </c>
    </row>
    <row r="11" spans="1:36" s="133" customFormat="1" ht="12.75" customHeight="1" x14ac:dyDescent="0.25">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v>0</v>
      </c>
      <c r="X11" s="165"/>
      <c r="Y11" s="261"/>
      <c r="AA11" s="228"/>
      <c r="AB11" s="188">
        <v>-11</v>
      </c>
      <c r="AC11" s="188">
        <f t="shared" si="0"/>
        <v>-2</v>
      </c>
      <c r="AD11" s="188">
        <v>-1</v>
      </c>
      <c r="AE11" s="188">
        <f t="shared" si="1"/>
        <v>0</v>
      </c>
      <c r="AF11" s="188">
        <f t="shared" si="2"/>
        <v>0</v>
      </c>
      <c r="AG11" s="188">
        <f t="shared" si="3"/>
        <v>0</v>
      </c>
    </row>
    <row r="12" spans="1:36" ht="12.75" customHeight="1" x14ac:dyDescent="0.25">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v>-18</v>
      </c>
      <c r="X12" s="165"/>
      <c r="Y12" s="202"/>
      <c r="AA12" s="43"/>
      <c r="AB12" s="224">
        <v>0</v>
      </c>
      <c r="AC12" s="224">
        <f t="shared" si="0"/>
        <v>0</v>
      </c>
      <c r="AD12" s="224">
        <v>-5</v>
      </c>
      <c r="AE12" s="224">
        <f t="shared" si="1"/>
        <v>-19</v>
      </c>
      <c r="AF12" s="224">
        <f t="shared" si="2"/>
        <v>-24</v>
      </c>
      <c r="AG12" s="224">
        <f t="shared" si="3"/>
        <v>-40</v>
      </c>
    </row>
    <row r="13" spans="1:36" ht="12.75" customHeight="1" x14ac:dyDescent="0.25">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v>0</v>
      </c>
      <c r="X13" s="165"/>
      <c r="Y13" s="161"/>
      <c r="AA13" s="43"/>
      <c r="AB13" s="224">
        <v>0</v>
      </c>
      <c r="AC13" s="224">
        <f t="shared" si="0"/>
        <v>0</v>
      </c>
      <c r="AD13" s="224">
        <v>0</v>
      </c>
      <c r="AE13" s="224">
        <f t="shared" si="1"/>
        <v>0</v>
      </c>
      <c r="AF13" s="224">
        <f t="shared" si="2"/>
        <v>0</v>
      </c>
      <c r="AG13" s="224">
        <f t="shared" si="3"/>
        <v>0</v>
      </c>
    </row>
    <row r="14" spans="1:36" ht="12.75" customHeight="1" thickBot="1" x14ac:dyDescent="0.3">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v>1926</v>
      </c>
      <c r="X14" s="166"/>
      <c r="Y14" s="203"/>
      <c r="AA14" s="43"/>
      <c r="AB14" s="225">
        <v>4980</v>
      </c>
      <c r="AC14" s="225">
        <f t="shared" si="0"/>
        <v>4749</v>
      </c>
      <c r="AD14" s="225">
        <v>4400</v>
      </c>
      <c r="AE14" s="225">
        <f t="shared" si="1"/>
        <v>6205</v>
      </c>
      <c r="AF14" s="225">
        <f t="shared" si="2"/>
        <v>7643</v>
      </c>
      <c r="AG14" s="225">
        <f t="shared" si="3"/>
        <v>3742</v>
      </c>
    </row>
    <row r="15" spans="1:36" ht="12.75" customHeight="1" thickTop="1" x14ac:dyDescent="0.25">
      <c r="A15" s="352"/>
      <c r="B15" s="175"/>
      <c r="C15" s="514"/>
      <c r="D15" s="167"/>
      <c r="E15" s="204"/>
      <c r="F15" s="175"/>
      <c r="G15" s="514"/>
      <c r="H15" s="167"/>
      <c r="I15" s="204"/>
      <c r="J15" s="175"/>
      <c r="K15" s="514"/>
      <c r="L15" s="167"/>
      <c r="M15" s="204"/>
      <c r="N15" s="175"/>
      <c r="O15" s="514"/>
      <c r="P15" s="167"/>
      <c r="Q15" s="204"/>
      <c r="R15" s="175"/>
      <c r="S15" s="514"/>
      <c r="T15" s="167"/>
      <c r="U15" s="204"/>
      <c r="V15" s="175"/>
      <c r="W15" s="514"/>
      <c r="X15" s="167"/>
      <c r="Y15" s="204"/>
      <c r="AB15" s="255"/>
      <c r="AC15" s="255"/>
      <c r="AD15" s="255"/>
      <c r="AE15" s="255"/>
      <c r="AF15" s="255"/>
      <c r="AG15" s="255"/>
    </row>
    <row r="16" spans="1:36" ht="12.75" customHeight="1" x14ac:dyDescent="0.25">
      <c r="A16" s="187" t="s">
        <v>121</v>
      </c>
      <c r="B16" s="158">
        <v>0.51700000000000002</v>
      </c>
      <c r="C16" s="515">
        <v>0.51500000000000001</v>
      </c>
      <c r="D16" s="250">
        <v>0.51400000000000001</v>
      </c>
      <c r="E16" s="205">
        <v>0.51727007906783184</v>
      </c>
      <c r="F16" s="158">
        <v>0.51200000000000001</v>
      </c>
      <c r="G16" s="515">
        <f t="shared" ref="G16:H16" si="4">G7/G5</f>
        <v>0.51917004961659896</v>
      </c>
      <c r="H16" s="515">
        <f t="shared" si="4"/>
        <v>0.52362030905077261</v>
      </c>
      <c r="I16" s="205">
        <f t="shared" ref="I16:J16" si="5">I7/I5</f>
        <v>0.52542372881355937</v>
      </c>
      <c r="J16" s="158">
        <f t="shared" si="5"/>
        <v>0.49332013854527462</v>
      </c>
      <c r="K16" s="515">
        <f t="shared" ref="K16:N16" si="6">K7/K5</f>
        <v>0.47330764997248209</v>
      </c>
      <c r="L16" s="515">
        <f t="shared" si="6"/>
        <v>0.48081164534627263</v>
      </c>
      <c r="M16" s="205">
        <f t="shared" si="6"/>
        <v>0.51376146788990829</v>
      </c>
      <c r="N16" s="158">
        <f t="shared" si="6"/>
        <v>0.52785352551616671</v>
      </c>
      <c r="O16" s="515">
        <f t="shared" ref="O16:R16" si="7">O7/O5</f>
        <v>0.54776579352850541</v>
      </c>
      <c r="P16" s="515">
        <f t="shared" si="7"/>
        <v>0.55330304089479199</v>
      </c>
      <c r="Q16" s="205">
        <f t="shared" si="7"/>
        <v>0.56169792694965448</v>
      </c>
      <c r="R16" s="158">
        <f t="shared" si="7"/>
        <v>0.56664540816326525</v>
      </c>
      <c r="S16" s="515">
        <f t="shared" ref="S16:T16" si="8">S7/S5</f>
        <v>0.56823671497584538</v>
      </c>
      <c r="T16" s="515">
        <f t="shared" si="8"/>
        <v>0.57097242380261248</v>
      </c>
      <c r="U16" s="205">
        <f t="shared" ref="U16:X16" si="9">U7/U5</f>
        <v>0.57095410628019327</v>
      </c>
      <c r="V16" s="158">
        <f t="shared" si="9"/>
        <v>0.5671259211791092</v>
      </c>
      <c r="W16" s="515">
        <f t="shared" si="9"/>
        <v>0.57017277963019097</v>
      </c>
      <c r="X16" s="515" t="e">
        <f t="shared" si="9"/>
        <v>#DIV/0!</v>
      </c>
      <c r="Y16" s="205" t="e">
        <f t="shared" ref="Y16" si="10">Y7/Y5</f>
        <v>#DIV/0!</v>
      </c>
      <c r="AB16" s="257">
        <v>0.51567981290528331</v>
      </c>
      <c r="AC16" s="257">
        <f t="shared" ref="AC16:AD16" si="11">AC7/AC5</f>
        <v>0.52022079531373211</v>
      </c>
      <c r="AD16" s="257">
        <f t="shared" si="11"/>
        <v>0.49175568973525313</v>
      </c>
      <c r="AE16" s="257">
        <f t="shared" ref="AE16:AF16" si="12">AE7/AE5</f>
        <v>0.54840459188285273</v>
      </c>
      <c r="AF16" s="257">
        <f t="shared" si="12"/>
        <v>0.56925407042786824</v>
      </c>
      <c r="AG16" s="257">
        <f t="shared" ref="AG16" si="13">AG7/AG5</f>
        <v>0.56869158878504678</v>
      </c>
    </row>
    <row r="17" spans="1:33" ht="12.75" customHeight="1" x14ac:dyDescent="0.25">
      <c r="A17" s="352"/>
      <c r="B17" s="159"/>
      <c r="C17" s="516"/>
      <c r="D17" s="251"/>
      <c r="E17" s="206"/>
      <c r="F17" s="159"/>
      <c r="G17" s="516"/>
      <c r="H17" s="516"/>
      <c r="I17" s="206"/>
      <c r="J17" s="159"/>
      <c r="K17" s="516"/>
      <c r="L17" s="516"/>
      <c r="M17" s="206"/>
      <c r="N17" s="159"/>
      <c r="O17" s="516"/>
      <c r="P17" s="516"/>
      <c r="Q17" s="206"/>
      <c r="R17" s="159"/>
      <c r="S17" s="516"/>
      <c r="T17" s="516"/>
      <c r="U17" s="206"/>
      <c r="V17" s="159"/>
      <c r="W17" s="516"/>
      <c r="X17" s="516"/>
      <c r="Y17" s="206"/>
      <c r="AB17" s="255"/>
      <c r="AC17" s="255"/>
      <c r="AD17" s="255"/>
      <c r="AE17" s="255"/>
      <c r="AF17" s="255"/>
      <c r="AG17" s="255"/>
    </row>
    <row r="18" spans="1:33" ht="12.75" customHeight="1" x14ac:dyDescent="0.25">
      <c r="A18" s="187" t="s">
        <v>122</v>
      </c>
      <c r="B18" s="158">
        <v>0.52900000000000003</v>
      </c>
      <c r="C18" s="515">
        <v>0.52800000000000002</v>
      </c>
      <c r="D18" s="250">
        <v>0.53</v>
      </c>
      <c r="E18" s="205">
        <v>0.53058676654182269</v>
      </c>
      <c r="F18" s="158">
        <v>0.52700000000000002</v>
      </c>
      <c r="G18" s="515">
        <f t="shared" ref="G18:H18" si="14">G14/G5</f>
        <v>0.53270184934596299</v>
      </c>
      <c r="H18" s="515">
        <f t="shared" si="14"/>
        <v>0.53686534216335546</v>
      </c>
      <c r="I18" s="205">
        <f t="shared" ref="I18:J18" si="15">I14/I5</f>
        <v>0.5423728813559322</v>
      </c>
      <c r="J18" s="158">
        <f t="shared" si="15"/>
        <v>0.51806036615536866</v>
      </c>
      <c r="K18" s="515">
        <f t="shared" ref="K18:N18" si="16">K14/K5</f>
        <v>0.49091909741331868</v>
      </c>
      <c r="L18" s="515">
        <f t="shared" si="16"/>
        <v>0.50066166740185269</v>
      </c>
      <c r="M18" s="205">
        <f t="shared" si="16"/>
        <v>0.52891902672516955</v>
      </c>
      <c r="N18" s="158">
        <f t="shared" si="16"/>
        <v>0.54226723802103627</v>
      </c>
      <c r="O18" s="515">
        <f t="shared" ref="O18:R18" si="17">O14/O5</f>
        <v>0.5608628659476117</v>
      </c>
      <c r="P18" s="515">
        <f t="shared" si="17"/>
        <v>0.56518699755330304</v>
      </c>
      <c r="Q18" s="205">
        <f t="shared" si="17"/>
        <v>0.57255676209279371</v>
      </c>
      <c r="R18" s="158">
        <f t="shared" si="17"/>
        <v>0.57621173469387754</v>
      </c>
      <c r="S18" s="515">
        <f t="shared" ref="S18:T18" si="18">S14/S5</f>
        <v>0.5782004830917874</v>
      </c>
      <c r="T18" s="515">
        <f t="shared" si="18"/>
        <v>0.58026124818577651</v>
      </c>
      <c r="U18" s="205">
        <f t="shared" ref="U18:X18" si="19">U14/U5</f>
        <v>0.58031400966183577</v>
      </c>
      <c r="V18" s="158">
        <f t="shared" si="19"/>
        <v>0.58186478692726695</v>
      </c>
      <c r="W18" s="515">
        <f t="shared" si="19"/>
        <v>0.58381327675053052</v>
      </c>
      <c r="X18" s="515" t="e">
        <f t="shared" si="19"/>
        <v>#DIV/0!</v>
      </c>
      <c r="Y18" s="205" t="e">
        <f t="shared" ref="Y18" si="20">Y14/Y5</f>
        <v>#DIV/0!</v>
      </c>
      <c r="AB18" s="257">
        <v>0.52939300520888699</v>
      </c>
      <c r="AC18" s="257">
        <f t="shared" ref="AC18:AD18" si="21">AC14/AC5</f>
        <v>0.53497803311929704</v>
      </c>
      <c r="AD18" s="257">
        <f t="shared" si="21"/>
        <v>0.51091500232234088</v>
      </c>
      <c r="AE18" s="257">
        <f t="shared" ref="AE18:AF18" si="22">AE14/AE5</f>
        <v>0.56087860435686521</v>
      </c>
      <c r="AF18" s="257">
        <f t="shared" si="22"/>
        <v>0.57879591063990909</v>
      </c>
      <c r="AG18" s="257">
        <f t="shared" ref="AG18" si="23">AG14/AG5</f>
        <v>0.5828660436137072</v>
      </c>
    </row>
    <row r="19" spans="1:33" ht="12.75" customHeight="1" x14ac:dyDescent="0.25">
      <c r="A19" s="352"/>
      <c r="B19" s="157"/>
      <c r="C19" s="517"/>
      <c r="D19" s="167"/>
      <c r="E19" s="204"/>
      <c r="F19" s="157"/>
      <c r="G19" s="517"/>
      <c r="H19" s="167"/>
      <c r="I19" s="204"/>
      <c r="J19" s="157"/>
      <c r="K19" s="517"/>
      <c r="L19" s="167"/>
      <c r="M19" s="204"/>
      <c r="N19" s="157"/>
      <c r="O19" s="517"/>
      <c r="P19" s="167"/>
      <c r="Q19" s="204"/>
      <c r="R19" s="157"/>
      <c r="S19" s="517"/>
      <c r="T19" s="167"/>
      <c r="U19" s="204"/>
      <c r="V19" s="157"/>
      <c r="W19" s="517"/>
      <c r="X19" s="167"/>
      <c r="Y19" s="204"/>
      <c r="AB19" s="255"/>
      <c r="AC19" s="255"/>
      <c r="AD19" s="255"/>
      <c r="AE19" s="255"/>
      <c r="AF19" s="255"/>
      <c r="AG19" s="255"/>
    </row>
    <row r="20" spans="1:33" ht="12.75" customHeight="1" x14ac:dyDescent="0.25">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v>-589</v>
      </c>
      <c r="X20" s="165"/>
      <c r="Y20" s="202"/>
      <c r="AA20" s="43"/>
      <c r="AB20" s="224">
        <v>-1700</v>
      </c>
      <c r="AC20" s="224">
        <f t="shared" ref="AC20:AC25" si="24">SUM(F20:I20)</f>
        <v>-1643</v>
      </c>
      <c r="AD20" s="224">
        <v>-1725</v>
      </c>
      <c r="AE20" s="224">
        <f t="shared" ref="AE20:AE25" si="25">SUM(N20:Q20)</f>
        <v>-1936</v>
      </c>
      <c r="AF20" s="224">
        <f t="shared" ref="AF20:AF25" si="26">SUM(R20:U20)</f>
        <v>-2148</v>
      </c>
      <c r="AG20" s="224">
        <f t="shared" ref="AG20:AG25" si="27">SUM(V20:Y20)</f>
        <v>-1166</v>
      </c>
    </row>
    <row r="21" spans="1:33" ht="12.75" customHeight="1" x14ac:dyDescent="0.25">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v>0</v>
      </c>
      <c r="X21" s="165"/>
      <c r="Y21" s="202"/>
      <c r="AA21" s="43"/>
      <c r="AB21" s="224">
        <v>0</v>
      </c>
      <c r="AC21" s="224">
        <f t="shared" si="24"/>
        <v>-16</v>
      </c>
      <c r="AD21" s="224">
        <v>-39</v>
      </c>
      <c r="AE21" s="224">
        <f t="shared" si="25"/>
        <v>-1</v>
      </c>
      <c r="AF21" s="224">
        <f t="shared" si="26"/>
        <v>2</v>
      </c>
      <c r="AG21" s="224">
        <f t="shared" si="27"/>
        <v>-14</v>
      </c>
    </row>
    <row r="22" spans="1:33" s="133" customFormat="1" ht="12.75" customHeight="1" x14ac:dyDescent="0.25">
      <c r="A22" s="351" t="s">
        <v>322</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v>-51</v>
      </c>
      <c r="X22" s="165"/>
      <c r="Y22" s="202"/>
      <c r="AA22" s="43"/>
      <c r="AB22" s="224">
        <v>-133</v>
      </c>
      <c r="AC22" s="224">
        <f t="shared" si="24"/>
        <v>-141</v>
      </c>
      <c r="AD22" s="224">
        <v>-159</v>
      </c>
      <c r="AE22" s="224">
        <f t="shared" si="25"/>
        <v>-165</v>
      </c>
      <c r="AF22" s="224">
        <f t="shared" si="26"/>
        <v>-183</v>
      </c>
      <c r="AG22" s="224">
        <f t="shared" si="27"/>
        <v>-103</v>
      </c>
    </row>
    <row r="23" spans="1:33" s="133" customFormat="1" ht="12.75" customHeight="1" x14ac:dyDescent="0.25">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v>0</v>
      </c>
      <c r="X23" s="165"/>
      <c r="Y23" s="261"/>
      <c r="AA23" s="228"/>
      <c r="AB23" s="188">
        <v>-24</v>
      </c>
      <c r="AC23" s="188">
        <f t="shared" si="24"/>
        <v>-7</v>
      </c>
      <c r="AD23" s="188">
        <v>-1</v>
      </c>
      <c r="AE23" s="188">
        <f t="shared" si="25"/>
        <v>0</v>
      </c>
      <c r="AF23" s="188">
        <f t="shared" si="26"/>
        <v>0</v>
      </c>
      <c r="AG23" s="188">
        <f t="shared" si="27"/>
        <v>0</v>
      </c>
    </row>
    <row r="24" spans="1:33" ht="12.75" customHeight="1" x14ac:dyDescent="0.25">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v>-1</v>
      </c>
      <c r="X24" s="165"/>
      <c r="Y24" s="161"/>
      <c r="AA24" s="43"/>
      <c r="AB24" s="224">
        <v>0</v>
      </c>
      <c r="AC24" s="224">
        <f t="shared" si="24"/>
        <v>0</v>
      </c>
      <c r="AD24" s="224">
        <v>-6</v>
      </c>
      <c r="AE24" s="224">
        <f t="shared" si="25"/>
        <v>-2</v>
      </c>
      <c r="AF24" s="224">
        <f t="shared" si="26"/>
        <v>-6</v>
      </c>
      <c r="AG24" s="224">
        <f t="shared" si="27"/>
        <v>-2</v>
      </c>
    </row>
    <row r="25" spans="1:33" ht="12.75" customHeight="1" thickBot="1" x14ac:dyDescent="0.3">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v>-537</v>
      </c>
      <c r="X25" s="168"/>
      <c r="Y25" s="207"/>
      <c r="AA25" s="43"/>
      <c r="AB25" s="226">
        <v>-1543</v>
      </c>
      <c r="AC25" s="226">
        <f t="shared" si="24"/>
        <v>-1479</v>
      </c>
      <c r="AD25" s="226">
        <v>-1520</v>
      </c>
      <c r="AE25" s="226">
        <f t="shared" si="25"/>
        <v>-1768</v>
      </c>
      <c r="AF25" s="226">
        <f t="shared" si="26"/>
        <v>-1961</v>
      </c>
      <c r="AG25" s="226">
        <f t="shared" si="27"/>
        <v>-1047</v>
      </c>
    </row>
    <row r="26" spans="1:33" ht="12.75" customHeight="1" thickTop="1" x14ac:dyDescent="0.25">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165"/>
      <c r="Y26" s="202"/>
      <c r="AA26" s="43"/>
      <c r="AB26" s="255"/>
      <c r="AC26" s="255"/>
      <c r="AD26" s="255"/>
      <c r="AE26" s="255"/>
      <c r="AF26" s="255"/>
      <c r="AG26" s="255"/>
    </row>
    <row r="27" spans="1:33" ht="12.75" customHeight="1" x14ac:dyDescent="0.25">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v>-274</v>
      </c>
      <c r="X27" s="165"/>
      <c r="Y27" s="202"/>
      <c r="AA27" s="43"/>
      <c r="AB27" s="224">
        <v>-993</v>
      </c>
      <c r="AC27" s="224">
        <f t="shared" ref="AC27:AC33" si="28">SUM(F27:I27)</f>
        <v>-924</v>
      </c>
      <c r="AD27" s="224">
        <v>-879</v>
      </c>
      <c r="AE27" s="224">
        <f t="shared" ref="AE27:AE33" si="29">SUM(N27:Q27)</f>
        <v>-956</v>
      </c>
      <c r="AF27" s="224">
        <f t="shared" ref="AF27:AF33" si="30">SUM(R27:U27)</f>
        <v>-1066</v>
      </c>
      <c r="AG27" s="224">
        <f t="shared" ref="AG27:AG33" si="31">SUM(V27:Y27)</f>
        <v>-554</v>
      </c>
    </row>
    <row r="28" spans="1:33" ht="12.75" customHeight="1" x14ac:dyDescent="0.25">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v>0</v>
      </c>
      <c r="X28" s="165"/>
      <c r="Y28" s="202"/>
      <c r="AA28" s="43"/>
      <c r="AB28" s="161">
        <v>-8</v>
      </c>
      <c r="AC28" s="161">
        <f t="shared" si="28"/>
        <v>-9</v>
      </c>
      <c r="AD28" s="161">
        <v>-7</v>
      </c>
      <c r="AE28" s="161">
        <f t="shared" si="29"/>
        <v>-5</v>
      </c>
      <c r="AF28" s="161">
        <f t="shared" si="30"/>
        <v>-5</v>
      </c>
      <c r="AG28" s="161">
        <f t="shared" si="31"/>
        <v>-1</v>
      </c>
    </row>
    <row r="29" spans="1:33" ht="12.75" customHeight="1" x14ac:dyDescent="0.25">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v>0</v>
      </c>
      <c r="X29" s="165"/>
      <c r="Y29" s="202"/>
      <c r="AA29" s="43"/>
      <c r="AB29" s="224">
        <v>-7</v>
      </c>
      <c r="AC29" s="224">
        <f t="shared" si="28"/>
        <v>-9</v>
      </c>
      <c r="AD29" s="224">
        <v>-24</v>
      </c>
      <c r="AE29" s="224">
        <f t="shared" si="29"/>
        <v>0</v>
      </c>
      <c r="AF29" s="224">
        <f t="shared" si="30"/>
        <v>2</v>
      </c>
      <c r="AG29" s="224">
        <f t="shared" si="31"/>
        <v>-6</v>
      </c>
    </row>
    <row r="30" spans="1:33" s="133" customFormat="1" ht="12.75" customHeight="1" x14ac:dyDescent="0.25">
      <c r="A30" s="351" t="s">
        <v>322</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v>-38</v>
      </c>
      <c r="X30" s="165"/>
      <c r="Y30" s="202"/>
      <c r="AA30" s="43"/>
      <c r="AB30" s="224">
        <v>-141</v>
      </c>
      <c r="AC30" s="224">
        <f t="shared" si="28"/>
        <v>-163</v>
      </c>
      <c r="AD30" s="224">
        <v>-180</v>
      </c>
      <c r="AE30" s="224">
        <f t="shared" si="29"/>
        <v>-143</v>
      </c>
      <c r="AF30" s="224">
        <f t="shared" si="30"/>
        <v>-134</v>
      </c>
      <c r="AG30" s="224">
        <f t="shared" si="31"/>
        <v>-72</v>
      </c>
    </row>
    <row r="31" spans="1:33" s="133" customFormat="1" ht="12.75" customHeight="1" x14ac:dyDescent="0.25">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v>0</v>
      </c>
      <c r="X31" s="165"/>
      <c r="Y31" s="261"/>
      <c r="AA31" s="228"/>
      <c r="AB31" s="227">
        <v>-78</v>
      </c>
      <c r="AC31" s="227">
        <f t="shared" si="28"/>
        <v>-24</v>
      </c>
      <c r="AD31" s="227">
        <v>-6</v>
      </c>
      <c r="AE31" s="227">
        <f t="shared" si="29"/>
        <v>0</v>
      </c>
      <c r="AF31" s="227">
        <f t="shared" si="30"/>
        <v>0</v>
      </c>
      <c r="AG31" s="227">
        <f t="shared" si="31"/>
        <v>0</v>
      </c>
    </row>
    <row r="32" spans="1:33" ht="12.75" customHeight="1" x14ac:dyDescent="0.25">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v>-2</v>
      </c>
      <c r="X32" s="165"/>
      <c r="Y32" s="261"/>
      <c r="AA32" s="228"/>
      <c r="AB32" s="227">
        <v>-21</v>
      </c>
      <c r="AC32" s="227">
        <f t="shared" si="28"/>
        <v>-16</v>
      </c>
      <c r="AD32" s="227">
        <v>-8</v>
      </c>
      <c r="AE32" s="227">
        <f t="shared" si="29"/>
        <v>-12</v>
      </c>
      <c r="AF32" s="227">
        <f t="shared" si="30"/>
        <v>-35</v>
      </c>
      <c r="AG32" s="227">
        <f t="shared" si="31"/>
        <v>-23</v>
      </c>
    </row>
    <row r="33" spans="1:33" ht="12.75" customHeight="1" thickBot="1" x14ac:dyDescent="0.3">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v>-234</v>
      </c>
      <c r="X33" s="168"/>
      <c r="Y33" s="207"/>
      <c r="AA33" s="43"/>
      <c r="AB33" s="226">
        <v>-738</v>
      </c>
      <c r="AC33" s="226">
        <f t="shared" si="28"/>
        <v>-703</v>
      </c>
      <c r="AD33" s="226">
        <v>-654</v>
      </c>
      <c r="AE33" s="226">
        <f t="shared" si="29"/>
        <v>-796</v>
      </c>
      <c r="AF33" s="226">
        <f t="shared" si="30"/>
        <v>-894</v>
      </c>
      <c r="AG33" s="226">
        <f t="shared" si="31"/>
        <v>-452</v>
      </c>
    </row>
    <row r="34" spans="1:33" s="133" customFormat="1" ht="12.75" customHeight="1" thickTop="1" x14ac:dyDescent="0.25">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165"/>
      <c r="Y34" s="202"/>
      <c r="AA34" s="43"/>
      <c r="AB34" s="255"/>
      <c r="AC34" s="255"/>
      <c r="AD34" s="255"/>
      <c r="AE34" s="255"/>
      <c r="AF34" s="255"/>
      <c r="AG34" s="255"/>
    </row>
    <row r="35" spans="1:33" s="133" customFormat="1" ht="26.25" customHeight="1" x14ac:dyDescent="0.25">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v>-81</v>
      </c>
      <c r="X35" s="165"/>
      <c r="Y35" s="261"/>
      <c r="AA35" s="228"/>
      <c r="AB35" s="227">
        <v>-1449</v>
      </c>
      <c r="AC35" s="227">
        <f>SUM(F35:I35)</f>
        <v>-1435</v>
      </c>
      <c r="AD35" s="227">
        <v>-1327</v>
      </c>
      <c r="AE35" s="227">
        <f>SUM(N35:Q35)</f>
        <v>-592</v>
      </c>
      <c r="AF35" s="227">
        <f>SUM(R35:U35)</f>
        <v>-509</v>
      </c>
      <c r="AG35" s="227">
        <f>SUM(V35:Y35)</f>
        <v>-166</v>
      </c>
    </row>
    <row r="36" spans="1:33" s="133" customFormat="1" ht="12.75" customHeight="1" x14ac:dyDescent="0.25">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2">
        <v>-137</v>
      </c>
      <c r="Q36" s="211">
        <v>-136</v>
      </c>
      <c r="R36" s="190">
        <v>-135</v>
      </c>
      <c r="S36" s="365">
        <v>-134</v>
      </c>
      <c r="T36" s="562">
        <v>-131</v>
      </c>
      <c r="U36" s="211">
        <v>-109</v>
      </c>
      <c r="V36" s="190">
        <v>-85</v>
      </c>
      <c r="W36" s="365">
        <v>-81</v>
      </c>
      <c r="X36" s="562"/>
      <c r="Y36" s="211"/>
      <c r="AA36" s="228"/>
      <c r="AB36" s="271">
        <v>-1449</v>
      </c>
      <c r="AC36" s="271">
        <f>SUM(F36:I36)</f>
        <v>-1435</v>
      </c>
      <c r="AD36" s="271">
        <v>-1327</v>
      </c>
      <c r="AE36" s="271">
        <f>SUM(N36:Q36)</f>
        <v>-592</v>
      </c>
      <c r="AF36" s="271">
        <f>SUM(R36:U36)</f>
        <v>-509</v>
      </c>
      <c r="AG36" s="271">
        <f>SUM(V36:Y36)</f>
        <v>-166</v>
      </c>
    </row>
    <row r="37" spans="1:33" s="133" customFormat="1" ht="24.75" customHeight="1" thickBot="1" x14ac:dyDescent="0.3">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v>0</v>
      </c>
      <c r="X37" s="168"/>
      <c r="Y37" s="272"/>
      <c r="AA37" s="228"/>
      <c r="AB37" s="273">
        <v>0</v>
      </c>
      <c r="AC37" s="273">
        <f>SUM(F37:I37)</f>
        <v>0</v>
      </c>
      <c r="AD37" s="273">
        <v>0</v>
      </c>
      <c r="AE37" s="273">
        <f>SUM(N37:Q37)</f>
        <v>0</v>
      </c>
      <c r="AF37" s="273">
        <f>SUM(R37:U37)</f>
        <v>0</v>
      </c>
      <c r="AG37" s="273">
        <f>SUM(V37:Y37)</f>
        <v>0</v>
      </c>
    </row>
    <row r="38" spans="1:33" s="133" customFormat="1" ht="12.75" customHeight="1" thickTop="1" x14ac:dyDescent="0.25">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165"/>
      <c r="Y38" s="202"/>
      <c r="AA38" s="43"/>
      <c r="AB38" s="255"/>
      <c r="AC38" s="255"/>
      <c r="AD38" s="255"/>
      <c r="AE38" s="255"/>
      <c r="AF38" s="255"/>
      <c r="AG38" s="255"/>
    </row>
    <row r="39" spans="1:33" s="133" customFormat="1" ht="12.75" customHeight="1" x14ac:dyDescent="0.25">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v>0</v>
      </c>
      <c r="X39" s="165"/>
      <c r="Y39" s="202"/>
      <c r="AA39" s="43"/>
      <c r="AB39" s="224">
        <v>2001</v>
      </c>
      <c r="AC39" s="224">
        <f t="shared" ref="AC39:AC44" si="32">SUM(F39:I39)</f>
        <v>25</v>
      </c>
      <c r="AD39" s="224">
        <v>114</v>
      </c>
      <c r="AE39" s="224">
        <f t="shared" ref="AE39:AE44" si="33">SUM(N39:Q39)</f>
        <v>0</v>
      </c>
      <c r="AF39" s="224">
        <f t="shared" ref="AF39:AF44" si="34">SUM(R39:U39)</f>
        <v>3</v>
      </c>
      <c r="AG39" s="224">
        <f t="shared" ref="AG39:AG44" si="35">SUM(V39:Y39)</f>
        <v>-3</v>
      </c>
    </row>
    <row r="40" spans="1:33" s="133" customFormat="1" ht="12.75" customHeight="1" x14ac:dyDescent="0.25">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v>0</v>
      </c>
      <c r="X40" s="165"/>
      <c r="Y40" s="202"/>
      <c r="AA40" s="43"/>
      <c r="AB40" s="161">
        <v>0</v>
      </c>
      <c r="AC40" s="161">
        <f t="shared" si="32"/>
        <v>0</v>
      </c>
      <c r="AD40" s="161">
        <v>0</v>
      </c>
      <c r="AE40" s="161">
        <f t="shared" si="33"/>
        <v>0</v>
      </c>
      <c r="AF40" s="161">
        <f t="shared" si="34"/>
        <v>0</v>
      </c>
      <c r="AG40" s="161">
        <f t="shared" si="35"/>
        <v>0</v>
      </c>
    </row>
    <row r="41" spans="1:33" s="133" customFormat="1" ht="12.75" customHeight="1" x14ac:dyDescent="0.25">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v>0</v>
      </c>
      <c r="X41" s="165"/>
      <c r="Y41" s="202"/>
      <c r="AA41" s="43"/>
      <c r="AB41" s="161">
        <v>1</v>
      </c>
      <c r="AC41" s="161">
        <f t="shared" si="32"/>
        <v>0</v>
      </c>
      <c r="AD41" s="161">
        <v>0</v>
      </c>
      <c r="AE41" s="161">
        <f t="shared" si="33"/>
        <v>0</v>
      </c>
      <c r="AF41" s="161">
        <f t="shared" si="34"/>
        <v>0</v>
      </c>
      <c r="AG41" s="161">
        <f t="shared" si="35"/>
        <v>0</v>
      </c>
    </row>
    <row r="42" spans="1:33" s="133" customFormat="1" ht="12.75" customHeight="1" x14ac:dyDescent="0.25">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v>0</v>
      </c>
      <c r="X42" s="165"/>
      <c r="Y42" s="161"/>
      <c r="AA42" s="43"/>
      <c r="AB42" s="161">
        <v>1961</v>
      </c>
      <c r="AC42" s="161">
        <f t="shared" si="32"/>
        <v>0</v>
      </c>
      <c r="AD42" s="161">
        <v>0</v>
      </c>
      <c r="AE42" s="161">
        <f t="shared" si="33"/>
        <v>0</v>
      </c>
      <c r="AF42" s="161">
        <f t="shared" si="34"/>
        <v>0</v>
      </c>
      <c r="AG42" s="161">
        <f t="shared" si="35"/>
        <v>0</v>
      </c>
    </row>
    <row r="43" spans="1:33" s="133" customFormat="1" ht="12.75" customHeight="1" x14ac:dyDescent="0.25">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v>0</v>
      </c>
      <c r="X43" s="363"/>
      <c r="Y43" s="161"/>
      <c r="AA43" s="43"/>
      <c r="AB43" s="224">
        <v>39</v>
      </c>
      <c r="AC43" s="224">
        <f t="shared" si="32"/>
        <v>19</v>
      </c>
      <c r="AD43" s="224">
        <v>112</v>
      </c>
      <c r="AE43" s="224">
        <f t="shared" si="33"/>
        <v>0</v>
      </c>
      <c r="AF43" s="224">
        <f t="shared" si="34"/>
        <v>0</v>
      </c>
      <c r="AG43" s="224">
        <f t="shared" si="35"/>
        <v>0</v>
      </c>
    </row>
    <row r="44" spans="1:33" s="133" customFormat="1" ht="12.75" customHeight="1" thickBot="1" x14ac:dyDescent="0.3">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v>0</v>
      </c>
      <c r="X44" s="366"/>
      <c r="Y44" s="207"/>
      <c r="AA44" s="43"/>
      <c r="AB44" s="226">
        <v>0</v>
      </c>
      <c r="AC44" s="226">
        <f t="shared" si="32"/>
        <v>6</v>
      </c>
      <c r="AD44" s="226">
        <v>2</v>
      </c>
      <c r="AE44" s="226">
        <f t="shared" si="33"/>
        <v>0</v>
      </c>
      <c r="AF44" s="226">
        <f t="shared" si="34"/>
        <v>3</v>
      </c>
      <c r="AG44" s="226">
        <f t="shared" si="35"/>
        <v>-3</v>
      </c>
    </row>
    <row r="45" spans="1:33" ht="12.75" customHeight="1" thickTop="1" x14ac:dyDescent="0.25">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165"/>
      <c r="Y45" s="202"/>
      <c r="AA45" s="43"/>
      <c r="AB45" s="224"/>
      <c r="AC45" s="224"/>
      <c r="AD45" s="224"/>
      <c r="AE45" s="224"/>
      <c r="AF45" s="224"/>
      <c r="AG45" s="224"/>
    </row>
    <row r="46" spans="1:33" ht="12.75" customHeight="1" x14ac:dyDescent="0.25">
      <c r="A46" s="187" t="s">
        <v>126</v>
      </c>
      <c r="B46" s="172">
        <v>138</v>
      </c>
      <c r="C46" s="414">
        <v>137</v>
      </c>
      <c r="D46" s="164">
        <v>2211</v>
      </c>
      <c r="E46" s="201">
        <v>224</v>
      </c>
      <c r="F46" s="172">
        <v>54</v>
      </c>
      <c r="G46" s="414">
        <f t="shared" ref="G46" si="36">+G7+G20+G27+G39+G35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v>937</v>
      </c>
      <c r="X46" s="164"/>
      <c r="Y46" s="201"/>
      <c r="AA46" s="43"/>
      <c r="AB46" s="223">
        <v>2710</v>
      </c>
      <c r="AC46" s="223">
        <f t="shared" ref="AC46:AC53" si="37">SUM(F46:I46)</f>
        <v>641</v>
      </c>
      <c r="AD46" s="223">
        <v>418</v>
      </c>
      <c r="AE46" s="223">
        <f t="shared" ref="AE46:AE53" si="38">SUM(N46:Q46)</f>
        <v>2583</v>
      </c>
      <c r="AF46" s="223">
        <f t="shared" ref="AF46:AF53" si="39">SUM(R46:U46)</f>
        <v>3797</v>
      </c>
      <c r="AG46" s="223">
        <f t="shared" ref="AG46:AG53" si="40">SUM(V46:Y46)</f>
        <v>1762</v>
      </c>
    </row>
    <row r="47" spans="1:33" ht="12.75" customHeight="1" x14ac:dyDescent="0.25">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v>-95</v>
      </c>
      <c r="X47" s="165"/>
      <c r="Y47" s="202"/>
      <c r="AA47" s="43"/>
      <c r="AB47" s="224">
        <v>-1535</v>
      </c>
      <c r="AC47" s="224">
        <f t="shared" si="37"/>
        <v>-1528</v>
      </c>
      <c r="AD47" s="224">
        <v>-1433</v>
      </c>
      <c r="AE47" s="224">
        <f t="shared" si="38"/>
        <v>-671</v>
      </c>
      <c r="AF47" s="224">
        <f t="shared" si="39"/>
        <v>-572</v>
      </c>
      <c r="AG47" s="224">
        <f t="shared" si="40"/>
        <v>-194</v>
      </c>
    </row>
    <row r="48" spans="1:33" ht="12.75" customHeight="1" x14ac:dyDescent="0.25">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v>0</v>
      </c>
      <c r="X48" s="165"/>
      <c r="Y48" s="202"/>
      <c r="AA48" s="43"/>
      <c r="AB48" s="224">
        <v>-6</v>
      </c>
      <c r="AC48" s="224">
        <f t="shared" si="37"/>
        <v>-28</v>
      </c>
      <c r="AD48" s="224">
        <v>-78</v>
      </c>
      <c r="AE48" s="224">
        <f t="shared" si="38"/>
        <v>-1</v>
      </c>
      <c r="AF48" s="224">
        <f t="shared" si="39"/>
        <v>7</v>
      </c>
      <c r="AG48" s="224">
        <f t="shared" si="40"/>
        <v>-18</v>
      </c>
    </row>
    <row r="49" spans="1:37" s="133" customFormat="1" ht="12.75" customHeight="1" x14ac:dyDescent="0.25">
      <c r="A49" s="186" t="s">
        <v>322</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v>-102</v>
      </c>
      <c r="X49" s="165"/>
      <c r="Y49" s="202"/>
      <c r="AA49" s="43"/>
      <c r="AB49" s="224">
        <v>-314</v>
      </c>
      <c r="AC49" s="224">
        <f t="shared" si="37"/>
        <v>-346</v>
      </c>
      <c r="AD49" s="224">
        <v>-384</v>
      </c>
      <c r="AE49" s="224">
        <f t="shared" si="38"/>
        <v>-353</v>
      </c>
      <c r="AF49" s="224">
        <f t="shared" si="39"/>
        <v>-364</v>
      </c>
      <c r="AG49" s="224">
        <f t="shared" si="40"/>
        <v>-201</v>
      </c>
    </row>
    <row r="50" spans="1:37" s="133" customFormat="1" ht="12.75" customHeight="1" x14ac:dyDescent="0.25">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v>0</v>
      </c>
      <c r="X50" s="165"/>
      <c r="Y50" s="202"/>
      <c r="AA50" s="43"/>
      <c r="AB50" s="224">
        <v>1848</v>
      </c>
      <c r="AC50" s="224">
        <f t="shared" si="37"/>
        <v>-33</v>
      </c>
      <c r="AD50" s="224">
        <v>-8</v>
      </c>
      <c r="AE50" s="224">
        <f t="shared" si="38"/>
        <v>0</v>
      </c>
      <c r="AF50" s="224">
        <f t="shared" si="39"/>
        <v>0</v>
      </c>
      <c r="AG50" s="224">
        <f t="shared" si="40"/>
        <v>0</v>
      </c>
    </row>
    <row r="51" spans="1:37" ht="12.75" customHeight="1" x14ac:dyDescent="0.25">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v>-21</v>
      </c>
      <c r="X51" s="165"/>
      <c r="Y51" s="202"/>
      <c r="AA51" s="43"/>
      <c r="AB51" s="224">
        <v>18</v>
      </c>
      <c r="AC51" s="224">
        <f t="shared" si="37"/>
        <v>3</v>
      </c>
      <c r="AD51" s="224">
        <v>93</v>
      </c>
      <c r="AE51" s="224">
        <f t="shared" si="38"/>
        <v>-33</v>
      </c>
      <c r="AF51" s="224">
        <f t="shared" si="39"/>
        <v>-65</v>
      </c>
      <c r="AG51" s="224">
        <f t="shared" si="40"/>
        <v>-65</v>
      </c>
    </row>
    <row r="52" spans="1:37" ht="12.75" customHeight="1" x14ac:dyDescent="0.25">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v>0</v>
      </c>
      <c r="X52" s="165"/>
      <c r="Y52" s="161"/>
      <c r="AA52" s="43"/>
      <c r="AB52" s="259">
        <v>0</v>
      </c>
      <c r="AC52" s="259">
        <f t="shared" si="37"/>
        <v>0</v>
      </c>
      <c r="AD52" s="259">
        <v>0</v>
      </c>
      <c r="AE52" s="259">
        <f t="shared" si="38"/>
        <v>0</v>
      </c>
      <c r="AF52" s="259">
        <f t="shared" si="39"/>
        <v>0</v>
      </c>
      <c r="AG52" s="259">
        <f t="shared" si="40"/>
        <v>0</v>
      </c>
    </row>
    <row r="53" spans="1:37" ht="12.75" customHeight="1" thickBot="1" x14ac:dyDescent="0.3">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v>1155</v>
      </c>
      <c r="X53" s="166"/>
      <c r="Y53" s="203"/>
      <c r="AA53" s="43"/>
      <c r="AB53" s="507">
        <v>2699</v>
      </c>
      <c r="AC53" s="507">
        <f t="shared" si="37"/>
        <v>2573</v>
      </c>
      <c r="AD53" s="507">
        <v>2228</v>
      </c>
      <c r="AE53" s="507">
        <f t="shared" si="38"/>
        <v>3641</v>
      </c>
      <c r="AF53" s="507">
        <f t="shared" si="39"/>
        <v>4791</v>
      </c>
      <c r="AG53" s="507">
        <f t="shared" si="40"/>
        <v>2240</v>
      </c>
    </row>
    <row r="54" spans="1:37" ht="12.75" customHeight="1" thickTop="1" x14ac:dyDescent="0.25">
      <c r="A54" s="352"/>
      <c r="B54" s="175"/>
      <c r="C54" s="514"/>
      <c r="D54" s="167"/>
      <c r="E54" s="204"/>
      <c r="F54" s="175"/>
      <c r="G54" s="514"/>
      <c r="H54" s="167"/>
      <c r="I54" s="204"/>
      <c r="J54" s="175"/>
      <c r="K54" s="514"/>
      <c r="L54" s="167"/>
      <c r="M54" s="204"/>
      <c r="N54" s="175"/>
      <c r="O54" s="514"/>
      <c r="P54" s="167"/>
      <c r="Q54" s="204"/>
      <c r="R54" s="175"/>
      <c r="S54" s="514"/>
      <c r="T54" s="167"/>
      <c r="U54" s="204"/>
      <c r="V54" s="175"/>
      <c r="W54" s="514"/>
      <c r="X54" s="167"/>
      <c r="Y54" s="204"/>
      <c r="AB54" s="255"/>
      <c r="AC54" s="255"/>
      <c r="AD54" s="255"/>
      <c r="AE54" s="255"/>
      <c r="AF54" s="255"/>
      <c r="AG54" s="255"/>
    </row>
    <row r="55" spans="1:37" ht="12.75" customHeight="1" x14ac:dyDescent="0.25">
      <c r="A55" s="187" t="s">
        <v>128</v>
      </c>
      <c r="B55" s="176">
        <v>6.0999999999999999E-2</v>
      </c>
      <c r="C55" s="515">
        <v>0.06</v>
      </c>
      <c r="D55" s="250">
        <v>0.90400000000000003</v>
      </c>
      <c r="E55" s="205">
        <v>9.321681231793591E-2</v>
      </c>
      <c r="F55" s="176">
        <v>2.5999999999999999E-2</v>
      </c>
      <c r="G55" s="515">
        <f t="shared" ref="G55" si="41">G46/G5</f>
        <v>7.0816418583671631E-2</v>
      </c>
      <c r="H55" s="515">
        <f t="shared" ref="H55:J55" si="42">H46/H5</f>
        <v>0.10286975717439294</v>
      </c>
      <c r="I55" s="205">
        <f t="shared" si="42"/>
        <v>8.5614950021729683E-2</v>
      </c>
      <c r="J55" s="176">
        <f t="shared" si="42"/>
        <v>3.3646709549727857E-2</v>
      </c>
      <c r="K55" s="515">
        <f t="shared" ref="K55:N55" si="43">K46/K5</f>
        <v>-7.9801871216290593E-2</v>
      </c>
      <c r="L55" s="515">
        <f t="shared" si="43"/>
        <v>1.4115571239523599E-2</v>
      </c>
      <c r="M55" s="205">
        <f t="shared" si="43"/>
        <v>0.18468288791384124</v>
      </c>
      <c r="N55" s="176">
        <f t="shared" si="43"/>
        <v>0.19166342033502143</v>
      </c>
      <c r="O55" s="515">
        <f t="shared" ref="O55:R55" si="44">O46/O5</f>
        <v>0.22072419106317412</v>
      </c>
      <c r="P55" s="515">
        <f t="shared" si="44"/>
        <v>0.24851450541768613</v>
      </c>
      <c r="Q55" s="205">
        <f t="shared" si="44"/>
        <v>0.26554787759131293</v>
      </c>
      <c r="R55" s="176">
        <f t="shared" si="44"/>
        <v>0.27838010204081631</v>
      </c>
      <c r="S55" s="515">
        <f t="shared" ref="S55:T55" si="45">S46/S5</f>
        <v>0.28472222222222221</v>
      </c>
      <c r="T55" s="515">
        <f t="shared" si="45"/>
        <v>0.29056603773584905</v>
      </c>
      <c r="U55" s="515">
        <f t="shared" ref="U55:X55" si="46">U46/U5</f>
        <v>0.29589371980676327</v>
      </c>
      <c r="V55" s="176">
        <f t="shared" si="46"/>
        <v>0.26433835309195769</v>
      </c>
      <c r="W55" s="515">
        <f t="shared" si="46"/>
        <v>0.28402546226129127</v>
      </c>
      <c r="X55" s="515" t="e">
        <f t="shared" si="46"/>
        <v>#DIV/0!</v>
      </c>
      <c r="Y55" s="515" t="e">
        <f t="shared" ref="Y55" si="47">Y46/Y5</f>
        <v>#DIV/0!</v>
      </c>
      <c r="AB55" s="257">
        <v>0.28808334219198467</v>
      </c>
      <c r="AC55" s="257">
        <f t="shared" ref="AC55:AD55" si="48">AC46/AC5</f>
        <v>7.2209079644023885E-2</v>
      </c>
      <c r="AD55" s="257">
        <f t="shared" si="48"/>
        <v>4.853692522062239E-2</v>
      </c>
      <c r="AE55" s="257">
        <f t="shared" ref="AE55:AF55" si="49">AE46/AE5</f>
        <v>0.23348097261140741</v>
      </c>
      <c r="AF55" s="257">
        <f t="shared" si="49"/>
        <v>0.28754259750094663</v>
      </c>
      <c r="AG55" s="257">
        <f t="shared" ref="AG55" si="50">AG46/AG5</f>
        <v>0.27445482866043613</v>
      </c>
    </row>
    <row r="56" spans="1:37" ht="12.75" customHeight="1" x14ac:dyDescent="0.25">
      <c r="A56" s="187"/>
      <c r="B56" s="178"/>
      <c r="C56" s="518"/>
      <c r="D56" s="252"/>
      <c r="E56" s="208"/>
      <c r="F56" s="178"/>
      <c r="G56" s="518"/>
      <c r="H56" s="518"/>
      <c r="I56" s="208"/>
      <c r="J56" s="178"/>
      <c r="K56" s="518"/>
      <c r="L56" s="518"/>
      <c r="M56" s="208"/>
      <c r="N56" s="178"/>
      <c r="O56" s="518"/>
      <c r="P56" s="518"/>
      <c r="Q56" s="208"/>
      <c r="R56" s="178"/>
      <c r="S56" s="518"/>
      <c r="T56" s="518"/>
      <c r="U56" s="518"/>
      <c r="V56" s="178"/>
      <c r="W56" s="518"/>
      <c r="X56" s="518"/>
      <c r="Y56" s="518"/>
      <c r="AB56" s="255"/>
      <c r="AC56" s="255"/>
      <c r="AD56" s="255"/>
      <c r="AE56" s="255"/>
      <c r="AF56" s="255"/>
      <c r="AG56" s="255"/>
    </row>
    <row r="57" spans="1:37" ht="12.75" customHeight="1" x14ac:dyDescent="0.25">
      <c r="A57" s="187" t="s">
        <v>129</v>
      </c>
      <c r="B57" s="176">
        <v>0.27200000000000002</v>
      </c>
      <c r="C57" s="515">
        <v>0.27</v>
      </c>
      <c r="D57" s="250">
        <v>0.3</v>
      </c>
      <c r="E57" s="205">
        <v>0.30420307948397834</v>
      </c>
      <c r="F57" s="176">
        <v>0.26700000000000002</v>
      </c>
      <c r="G57" s="515">
        <f t="shared" ref="G57" si="51">G53/G5</f>
        <v>0.2886783942264321</v>
      </c>
      <c r="H57" s="515">
        <f t="shared" ref="H57:J57" si="52">H53/H5</f>
        <v>0.3033112582781457</v>
      </c>
      <c r="I57" s="205">
        <f t="shared" si="52"/>
        <v>0.29856584093872229</v>
      </c>
      <c r="J57" s="176">
        <f t="shared" si="52"/>
        <v>0.24839188520534389</v>
      </c>
      <c r="K57" s="515">
        <f t="shared" ref="K57:N57" si="53">K53/K5</f>
        <v>0.20693450742982938</v>
      </c>
      <c r="L57" s="515">
        <f t="shared" si="53"/>
        <v>0.25849139832377593</v>
      </c>
      <c r="M57" s="205">
        <f t="shared" si="53"/>
        <v>0.30474670921420022</v>
      </c>
      <c r="N57" s="176">
        <f t="shared" si="53"/>
        <v>0.30853135956369304</v>
      </c>
      <c r="O57" s="515">
        <f t="shared" ref="O57:R57" si="54">O53/O5</f>
        <v>0.31972265023112478</v>
      </c>
      <c r="P57" s="515">
        <f t="shared" si="54"/>
        <v>0.33519748339741351</v>
      </c>
      <c r="Q57" s="205">
        <f t="shared" si="54"/>
        <v>0.34879894702204672</v>
      </c>
      <c r="R57" s="176">
        <f t="shared" si="54"/>
        <v>0.35682397959183676</v>
      </c>
      <c r="S57" s="515">
        <f t="shared" ref="S57:T57" si="55">S53/S5</f>
        <v>0.36020531400966183</v>
      </c>
      <c r="T57" s="515">
        <f t="shared" si="55"/>
        <v>0.36894049346879537</v>
      </c>
      <c r="U57" s="515">
        <f t="shared" ref="U57:X57" si="56">U53/U5</f>
        <v>0.36473429951690822</v>
      </c>
      <c r="V57" s="176">
        <f t="shared" si="56"/>
        <v>0.34764498558154439</v>
      </c>
      <c r="W57" s="515">
        <f t="shared" si="56"/>
        <v>0.3501060927553804</v>
      </c>
      <c r="X57" s="515" t="e">
        <f t="shared" si="56"/>
        <v>#DIV/0!</v>
      </c>
      <c r="Y57" s="515" t="e">
        <f t="shared" ref="Y57" si="57">Y53/Y5</f>
        <v>#DIV/0!</v>
      </c>
      <c r="AB57" s="257">
        <v>0.28691400021260766</v>
      </c>
      <c r="AC57" s="257">
        <f t="shared" ref="AC57:AD57" si="58">AC53/AC5</f>
        <v>0.2898501746085389</v>
      </c>
      <c r="AD57" s="257">
        <f t="shared" si="58"/>
        <v>0.25870877844867629</v>
      </c>
      <c r="AE57" s="257">
        <f t="shared" ref="AE57:AF57" si="59">AE53/AE5</f>
        <v>0.32911506824550302</v>
      </c>
      <c r="AF57" s="257">
        <f t="shared" si="59"/>
        <v>0.3628171147292692</v>
      </c>
      <c r="AG57" s="257">
        <f t="shared" ref="AG57" si="60">AG53/AG5</f>
        <v>0.34890965732087226</v>
      </c>
    </row>
    <row r="58" spans="1:37" ht="12.75" customHeight="1" x14ac:dyDescent="0.25">
      <c r="A58" s="187"/>
      <c r="B58" s="179"/>
      <c r="C58" s="519"/>
      <c r="D58" s="169"/>
      <c r="E58" s="209"/>
      <c r="F58" s="179"/>
      <c r="G58" s="519"/>
      <c r="H58" s="169"/>
      <c r="I58" s="209"/>
      <c r="J58" s="179"/>
      <c r="K58" s="519"/>
      <c r="L58" s="169"/>
      <c r="M58" s="209"/>
      <c r="N58" s="179"/>
      <c r="O58" s="519"/>
      <c r="P58" s="169"/>
      <c r="Q58" s="209"/>
      <c r="R58" s="172"/>
      <c r="S58" s="537"/>
      <c r="T58" s="164"/>
      <c r="U58" s="201"/>
      <c r="V58" s="172"/>
      <c r="W58" s="537"/>
      <c r="X58" s="164"/>
      <c r="Y58" s="201"/>
      <c r="Z58" s="133"/>
      <c r="AA58" s="43"/>
      <c r="AB58" s="254"/>
      <c r="AC58" s="254"/>
      <c r="AD58" s="254"/>
      <c r="AE58" s="254"/>
      <c r="AF58" s="254"/>
      <c r="AG58" s="254"/>
      <c r="AK58" s="133"/>
    </row>
    <row r="59" spans="1:37" ht="12.75" customHeight="1" x14ac:dyDescent="0.25">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v>-74</v>
      </c>
      <c r="X59" s="164"/>
      <c r="Y59" s="201"/>
      <c r="AA59" s="43"/>
      <c r="AB59" s="223">
        <v>-335</v>
      </c>
      <c r="AC59" s="223">
        <f t="shared" ref="AC59:AC66" si="61">SUM(F59:I59)</f>
        <v>-350</v>
      </c>
      <c r="AD59" s="223">
        <v>-417</v>
      </c>
      <c r="AE59" s="223">
        <f t="shared" ref="AE59:AE66" si="62">SUM(N59:Q59)</f>
        <v>-403</v>
      </c>
      <c r="AF59" s="223">
        <f t="shared" ref="AF59:AF66" si="63">SUM(R59:U59)</f>
        <v>-434</v>
      </c>
      <c r="AG59" s="223">
        <f t="shared" ref="AG59:AG66" si="64">SUM(V59:Y59)</f>
        <v>-156</v>
      </c>
      <c r="AJ59" s="133"/>
      <c r="AK59" s="133"/>
    </row>
    <row r="60" spans="1:37" s="133" customFormat="1" ht="12.75" customHeight="1" x14ac:dyDescent="0.25">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v>0</v>
      </c>
      <c r="X60" s="164"/>
      <c r="Y60" s="201"/>
      <c r="AA60" s="43"/>
      <c r="AB60" s="218">
        <v>0</v>
      </c>
      <c r="AC60" s="218">
        <f t="shared" si="61"/>
        <v>0</v>
      </c>
      <c r="AD60" s="218">
        <v>0</v>
      </c>
      <c r="AE60" s="218">
        <f t="shared" si="62"/>
        <v>0</v>
      </c>
      <c r="AF60" s="218">
        <f t="shared" si="63"/>
        <v>0</v>
      </c>
      <c r="AG60" s="218">
        <f t="shared" si="64"/>
        <v>0</v>
      </c>
    </row>
    <row r="61" spans="1:37" s="133" customFormat="1" ht="12.75" customHeight="1" x14ac:dyDescent="0.25">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v>0</v>
      </c>
      <c r="X61" s="165"/>
      <c r="Y61" s="262"/>
      <c r="AA61" s="43"/>
      <c r="AB61" s="263">
        <v>-44</v>
      </c>
      <c r="AC61" s="263">
        <f t="shared" si="61"/>
        <v>-42</v>
      </c>
      <c r="AD61" s="263">
        <v>0</v>
      </c>
      <c r="AE61" s="263">
        <f t="shared" si="62"/>
        <v>0</v>
      </c>
      <c r="AF61" s="263">
        <f t="shared" si="63"/>
        <v>0</v>
      </c>
      <c r="AG61" s="263">
        <f t="shared" si="64"/>
        <v>0</v>
      </c>
    </row>
    <row r="62" spans="1:37" ht="12.75" customHeight="1" x14ac:dyDescent="0.25">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v>-3</v>
      </c>
      <c r="X62" s="165"/>
      <c r="Y62" s="202"/>
      <c r="AA62" s="43"/>
      <c r="AB62" s="224">
        <v>-11</v>
      </c>
      <c r="AC62" s="224">
        <f t="shared" si="61"/>
        <v>-17</v>
      </c>
      <c r="AD62" s="224">
        <v>-12</v>
      </c>
      <c r="AE62" s="224">
        <f t="shared" si="62"/>
        <v>-1</v>
      </c>
      <c r="AF62" s="224">
        <f t="shared" si="63"/>
        <v>-13</v>
      </c>
      <c r="AG62" s="224">
        <f t="shared" si="64"/>
        <v>-6</v>
      </c>
      <c r="AJ62" s="133"/>
      <c r="AK62" s="133"/>
    </row>
    <row r="63" spans="1:37" ht="12.75" customHeight="1" x14ac:dyDescent="0.25">
      <c r="A63" s="186" t="s">
        <v>211</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v>0</v>
      </c>
      <c r="X63" s="165"/>
      <c r="Y63" s="202"/>
      <c r="AA63" s="43"/>
      <c r="AB63" s="224">
        <v>-26</v>
      </c>
      <c r="AC63" s="224">
        <f t="shared" si="61"/>
        <v>-11</v>
      </c>
      <c r="AD63" s="224">
        <v>-60</v>
      </c>
      <c r="AE63" s="224">
        <f t="shared" si="62"/>
        <v>-22</v>
      </c>
      <c r="AF63" s="224">
        <f t="shared" si="63"/>
        <v>-18</v>
      </c>
      <c r="AG63" s="224">
        <f t="shared" si="64"/>
        <v>0</v>
      </c>
      <c r="AJ63" s="133"/>
      <c r="AK63" s="133"/>
    </row>
    <row r="64" spans="1:37" s="133" customFormat="1" ht="12.75" customHeight="1" x14ac:dyDescent="0.25">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v>0</v>
      </c>
      <c r="X64" s="165"/>
      <c r="Y64" s="261"/>
      <c r="AA64" s="43"/>
      <c r="AB64" s="264">
        <v>0</v>
      </c>
      <c r="AC64" s="264">
        <f t="shared" si="61"/>
        <v>0</v>
      </c>
      <c r="AD64" s="264">
        <v>0</v>
      </c>
      <c r="AE64" s="264">
        <f t="shared" si="62"/>
        <v>0</v>
      </c>
      <c r="AF64" s="264">
        <f t="shared" si="63"/>
        <v>0</v>
      </c>
      <c r="AG64" s="264">
        <f t="shared" si="64"/>
        <v>0</v>
      </c>
    </row>
    <row r="65" spans="1:37" ht="12.75" customHeight="1" x14ac:dyDescent="0.25">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v>2</v>
      </c>
      <c r="X65" s="165"/>
      <c r="Y65" s="261"/>
      <c r="AA65" s="43"/>
      <c r="AB65" s="271">
        <v>-78</v>
      </c>
      <c r="AC65" s="271">
        <f t="shared" si="61"/>
        <v>-15</v>
      </c>
      <c r="AD65" s="271">
        <v>12</v>
      </c>
      <c r="AE65" s="271">
        <f t="shared" si="62"/>
        <v>-15</v>
      </c>
      <c r="AF65" s="271">
        <f t="shared" si="63"/>
        <v>-17</v>
      </c>
      <c r="AG65" s="271">
        <f t="shared" si="64"/>
        <v>-1</v>
      </c>
      <c r="AJ65" s="133"/>
      <c r="AK65" s="133"/>
    </row>
    <row r="66" spans="1:37" ht="12.75" customHeight="1" thickBot="1" x14ac:dyDescent="0.3">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v>-73</v>
      </c>
      <c r="X66" s="166"/>
      <c r="Y66" s="203"/>
      <c r="AA66" s="43"/>
      <c r="AB66" s="507">
        <v>-176</v>
      </c>
      <c r="AC66" s="507">
        <f t="shared" si="61"/>
        <v>-265</v>
      </c>
      <c r="AD66" s="507">
        <v>-357</v>
      </c>
      <c r="AE66" s="507">
        <f t="shared" si="62"/>
        <v>-365</v>
      </c>
      <c r="AF66" s="507">
        <f t="shared" si="63"/>
        <v>-386</v>
      </c>
      <c r="AG66" s="507">
        <f t="shared" si="64"/>
        <v>-149</v>
      </c>
      <c r="AJ66" s="133"/>
      <c r="AK66" s="133"/>
    </row>
    <row r="67" spans="1:37" ht="12.75" customHeight="1" thickTop="1" x14ac:dyDescent="0.25">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170"/>
      <c r="Y67" s="210"/>
      <c r="AA67" s="43"/>
      <c r="AB67" s="255"/>
      <c r="AC67" s="255"/>
      <c r="AD67" s="255"/>
      <c r="AE67" s="255"/>
      <c r="AF67" s="255"/>
      <c r="AG67" s="255"/>
      <c r="AJ67" s="133"/>
      <c r="AK67" s="133"/>
    </row>
    <row r="68" spans="1:37" s="133" customFormat="1" ht="12.75" customHeight="1" x14ac:dyDescent="0.25">
      <c r="A68" s="187" t="s">
        <v>173</v>
      </c>
      <c r="B68" s="413"/>
      <c r="C68" s="468"/>
      <c r="D68" s="164"/>
      <c r="E68" s="201"/>
      <c r="F68" s="413"/>
      <c r="G68" s="468"/>
      <c r="H68" s="164"/>
      <c r="I68" s="201"/>
      <c r="J68" s="172"/>
      <c r="K68" s="537"/>
      <c r="L68" s="164"/>
      <c r="M68" s="201"/>
      <c r="N68" s="172"/>
      <c r="O68" s="537"/>
      <c r="P68" s="164"/>
      <c r="Q68" s="201"/>
      <c r="R68" s="172"/>
      <c r="S68" s="537"/>
      <c r="T68" s="164"/>
      <c r="U68" s="201"/>
      <c r="V68" s="172">
        <v>-118</v>
      </c>
      <c r="W68" s="537">
        <v>-158</v>
      </c>
      <c r="X68" s="164"/>
      <c r="Y68" s="201"/>
      <c r="AA68" s="43"/>
      <c r="AB68" s="254"/>
      <c r="AC68" s="254"/>
      <c r="AD68" s="254"/>
      <c r="AE68" s="254"/>
      <c r="AF68" s="254"/>
      <c r="AG68" s="254">
        <f t="shared" ref="AG68:AG70" si="65">SUM(V68:Y68)</f>
        <v>-276</v>
      </c>
    </row>
    <row r="69" spans="1:37" s="133" customFormat="1" ht="12.75" customHeight="1" x14ac:dyDescent="0.25">
      <c r="A69" s="613" t="s">
        <v>120</v>
      </c>
      <c r="B69" s="362"/>
      <c r="C69" s="401"/>
      <c r="D69" s="165"/>
      <c r="E69" s="202"/>
      <c r="F69" s="362"/>
      <c r="G69" s="401"/>
      <c r="H69" s="165"/>
      <c r="I69" s="202"/>
      <c r="J69" s="173"/>
      <c r="K69" s="538"/>
      <c r="L69" s="165"/>
      <c r="M69" s="202"/>
      <c r="N69" s="173"/>
      <c r="O69" s="538"/>
      <c r="P69" s="165"/>
      <c r="Q69" s="202"/>
      <c r="R69" s="173"/>
      <c r="S69" s="538"/>
      <c r="T69" s="165"/>
      <c r="U69" s="202"/>
      <c r="V69" s="362">
        <v>49</v>
      </c>
      <c r="W69" s="538">
        <v>22</v>
      </c>
      <c r="X69" s="165"/>
      <c r="Y69" s="202"/>
      <c r="AA69" s="43"/>
      <c r="AB69" s="415"/>
      <c r="AC69" s="415"/>
      <c r="AD69" s="415"/>
      <c r="AE69" s="415"/>
      <c r="AF69" s="415"/>
      <c r="AG69" s="415">
        <f t="shared" si="65"/>
        <v>71</v>
      </c>
    </row>
    <row r="70" spans="1:37" s="133" customFormat="1" ht="12.75" customHeight="1" thickBot="1" x14ac:dyDescent="0.3">
      <c r="A70" s="187" t="s">
        <v>332</v>
      </c>
      <c r="B70" s="191"/>
      <c r="C70" s="469"/>
      <c r="D70" s="166"/>
      <c r="E70" s="203"/>
      <c r="F70" s="191"/>
      <c r="G70" s="469"/>
      <c r="H70" s="166"/>
      <c r="I70" s="203"/>
      <c r="J70" s="174"/>
      <c r="K70" s="539"/>
      <c r="L70" s="166"/>
      <c r="M70" s="203"/>
      <c r="N70" s="174"/>
      <c r="O70" s="539"/>
      <c r="P70" s="166"/>
      <c r="Q70" s="203"/>
      <c r="R70" s="174"/>
      <c r="S70" s="539"/>
      <c r="T70" s="166"/>
      <c r="U70" s="203"/>
      <c r="V70" s="174">
        <v>-167</v>
      </c>
      <c r="W70" s="539">
        <v>-180</v>
      </c>
      <c r="X70" s="166"/>
      <c r="Y70" s="203"/>
      <c r="AA70" s="43"/>
      <c r="AB70" s="258"/>
      <c r="AC70" s="258"/>
      <c r="AD70" s="258"/>
      <c r="AE70" s="258"/>
      <c r="AF70" s="258"/>
      <c r="AG70" s="258">
        <f t="shared" si="65"/>
        <v>-347</v>
      </c>
    </row>
    <row r="71" spans="1:37" s="133" customFormat="1" ht="12.75" customHeight="1" thickTop="1" x14ac:dyDescent="0.25">
      <c r="A71" s="187"/>
      <c r="B71" s="413"/>
      <c r="C71" s="468"/>
      <c r="D71" s="164"/>
      <c r="E71" s="201"/>
      <c r="F71" s="413"/>
      <c r="G71" s="468"/>
      <c r="H71" s="164"/>
      <c r="I71" s="201"/>
      <c r="J71" s="172"/>
      <c r="K71" s="537"/>
      <c r="L71" s="164"/>
      <c r="M71" s="201"/>
      <c r="N71" s="172"/>
      <c r="O71" s="537"/>
      <c r="P71" s="164"/>
      <c r="Q71" s="201"/>
      <c r="R71" s="172"/>
      <c r="S71" s="537"/>
      <c r="T71" s="164"/>
      <c r="U71" s="201"/>
      <c r="V71" s="172"/>
      <c r="W71" s="537"/>
      <c r="X71" s="164"/>
      <c r="Y71" s="201"/>
      <c r="AA71" s="43"/>
      <c r="AB71" s="255"/>
      <c r="AC71" s="255"/>
      <c r="AD71" s="255"/>
      <c r="AE71" s="255"/>
      <c r="AF71" s="255"/>
      <c r="AG71" s="255"/>
    </row>
    <row r="72" spans="1:37" s="87" customFormat="1" ht="24" customHeight="1" x14ac:dyDescent="0.25">
      <c r="A72" s="187" t="s">
        <v>174</v>
      </c>
      <c r="B72" s="413"/>
      <c r="C72" s="468"/>
      <c r="D72" s="402"/>
      <c r="E72" s="416"/>
      <c r="F72" s="413"/>
      <c r="G72" s="468"/>
      <c r="H72" s="402"/>
      <c r="I72" s="416"/>
      <c r="J72" s="172"/>
      <c r="K72" s="537"/>
      <c r="L72" s="402"/>
      <c r="M72" s="416"/>
      <c r="N72" s="172"/>
      <c r="O72" s="537"/>
      <c r="P72" s="402"/>
      <c r="Q72" s="416"/>
      <c r="R72" s="172"/>
      <c r="S72" s="537"/>
      <c r="T72" s="402"/>
      <c r="U72" s="416"/>
      <c r="V72" s="172">
        <v>-2</v>
      </c>
      <c r="W72" s="537">
        <v>-1</v>
      </c>
      <c r="X72" s="402"/>
      <c r="Y72" s="416"/>
      <c r="AA72" s="228"/>
      <c r="AB72" s="417"/>
      <c r="AC72" s="417"/>
      <c r="AD72" s="417"/>
      <c r="AE72" s="417"/>
      <c r="AF72" s="417"/>
      <c r="AG72" s="417">
        <f t="shared" ref="AG72:AG74" si="66">SUM(V72:Y72)</f>
        <v>-3</v>
      </c>
    </row>
    <row r="73" spans="1:37" s="62" customFormat="1" ht="12.75" customHeight="1" x14ac:dyDescent="0.25">
      <c r="A73" s="613" t="s">
        <v>120</v>
      </c>
      <c r="B73" s="190"/>
      <c r="C73" s="401"/>
      <c r="D73" s="189"/>
      <c r="E73" s="211"/>
      <c r="F73" s="190"/>
      <c r="G73" s="401"/>
      <c r="H73" s="189"/>
      <c r="I73" s="211"/>
      <c r="J73" s="540"/>
      <c r="K73" s="538"/>
      <c r="L73" s="189"/>
      <c r="M73" s="211"/>
      <c r="N73" s="540"/>
      <c r="O73" s="538"/>
      <c r="P73" s="189"/>
      <c r="Q73" s="211"/>
      <c r="R73" s="540"/>
      <c r="S73" s="538"/>
      <c r="T73" s="189"/>
      <c r="U73" s="211"/>
      <c r="V73" s="540">
        <v>-2</v>
      </c>
      <c r="W73" s="538">
        <v>-1</v>
      </c>
      <c r="X73" s="189"/>
      <c r="Y73" s="211"/>
      <c r="AA73" s="418"/>
      <c r="AB73" s="256"/>
      <c r="AC73" s="256"/>
      <c r="AD73" s="256"/>
      <c r="AE73" s="256"/>
      <c r="AF73" s="256"/>
      <c r="AG73" s="256">
        <f t="shared" si="66"/>
        <v>-3</v>
      </c>
    </row>
    <row r="74" spans="1:37" s="87" customFormat="1" ht="24" customHeight="1" thickBot="1" x14ac:dyDescent="0.3">
      <c r="A74" s="187" t="s">
        <v>175</v>
      </c>
      <c r="B74" s="191"/>
      <c r="C74" s="470"/>
      <c r="D74" s="403"/>
      <c r="E74" s="419"/>
      <c r="F74" s="191"/>
      <c r="G74" s="470"/>
      <c r="H74" s="403"/>
      <c r="I74" s="419"/>
      <c r="J74" s="174"/>
      <c r="K74" s="541"/>
      <c r="L74" s="403"/>
      <c r="M74" s="419"/>
      <c r="N74" s="174"/>
      <c r="O74" s="541"/>
      <c r="P74" s="403"/>
      <c r="Q74" s="419"/>
      <c r="R74" s="174"/>
      <c r="S74" s="541"/>
      <c r="T74" s="403"/>
      <c r="U74" s="419"/>
      <c r="V74" s="174">
        <v>0</v>
      </c>
      <c r="W74" s="541">
        <v>0</v>
      </c>
      <c r="X74" s="403"/>
      <c r="Y74" s="419"/>
      <c r="AA74" s="228"/>
      <c r="AB74" s="420"/>
      <c r="AC74" s="420"/>
      <c r="AD74" s="420"/>
      <c r="AE74" s="420"/>
      <c r="AF74" s="420"/>
      <c r="AG74" s="420">
        <f t="shared" si="66"/>
        <v>0</v>
      </c>
    </row>
    <row r="75" spans="1:37" s="133" customFormat="1" ht="12.75" customHeight="1" thickTop="1" x14ac:dyDescent="0.25">
      <c r="A75" s="352"/>
      <c r="B75" s="395"/>
      <c r="C75" s="471"/>
      <c r="D75" s="170"/>
      <c r="E75" s="210"/>
      <c r="F75" s="395"/>
      <c r="G75" s="471"/>
      <c r="H75" s="170"/>
      <c r="I75" s="210"/>
      <c r="J75" s="542"/>
      <c r="K75" s="543"/>
      <c r="L75" s="170"/>
      <c r="M75" s="210"/>
      <c r="N75" s="542"/>
      <c r="O75" s="543"/>
      <c r="P75" s="170"/>
      <c r="Q75" s="210"/>
      <c r="R75" s="542"/>
      <c r="S75" s="543"/>
      <c r="T75" s="170"/>
      <c r="U75" s="210"/>
      <c r="V75" s="542"/>
      <c r="W75" s="543"/>
      <c r="X75" s="170"/>
      <c r="Y75" s="210"/>
      <c r="AA75" s="43"/>
      <c r="AB75" s="255"/>
      <c r="AC75" s="255"/>
      <c r="AD75" s="255"/>
      <c r="AE75" s="255"/>
      <c r="AF75" s="255"/>
      <c r="AG75" s="255"/>
    </row>
    <row r="76" spans="1:37" s="133" customFormat="1" ht="27" customHeight="1" x14ac:dyDescent="0.25">
      <c r="A76" s="187" t="s">
        <v>176</v>
      </c>
      <c r="B76" s="413"/>
      <c r="C76" s="468"/>
      <c r="D76" s="164"/>
      <c r="E76" s="201"/>
      <c r="F76" s="413"/>
      <c r="G76" s="468"/>
      <c r="H76" s="468"/>
      <c r="I76" s="201"/>
      <c r="J76" s="172"/>
      <c r="K76" s="537"/>
      <c r="L76" s="164"/>
      <c r="M76" s="201"/>
      <c r="N76" s="172"/>
      <c r="O76" s="537"/>
      <c r="P76" s="164"/>
      <c r="Q76" s="201"/>
      <c r="R76" s="172"/>
      <c r="S76" s="537"/>
      <c r="T76" s="164"/>
      <c r="U76" s="201"/>
      <c r="V76" s="172">
        <v>623</v>
      </c>
      <c r="W76" s="537">
        <v>704</v>
      </c>
      <c r="X76" s="164"/>
      <c r="Y76" s="201"/>
      <c r="AA76" s="43"/>
      <c r="AB76" s="254"/>
      <c r="AC76" s="254"/>
      <c r="AD76" s="254"/>
      <c r="AE76" s="254"/>
      <c r="AF76" s="254"/>
      <c r="AG76" s="254">
        <f t="shared" ref="AG76:AG83" si="67">SUM(V76:Y76)</f>
        <v>1327</v>
      </c>
    </row>
    <row r="77" spans="1:37" s="133" customFormat="1" ht="12.75" customHeight="1" x14ac:dyDescent="0.25">
      <c r="A77" s="186" t="s">
        <v>11</v>
      </c>
      <c r="B77" s="362"/>
      <c r="C77" s="401"/>
      <c r="D77" s="165"/>
      <c r="E77" s="202"/>
      <c r="F77" s="362"/>
      <c r="G77" s="401"/>
      <c r="H77" s="401"/>
      <c r="I77" s="202"/>
      <c r="J77" s="173"/>
      <c r="K77" s="538"/>
      <c r="L77" s="165"/>
      <c r="M77" s="202"/>
      <c r="N77" s="173"/>
      <c r="O77" s="538"/>
      <c r="P77" s="165"/>
      <c r="Q77" s="202"/>
      <c r="R77" s="173"/>
      <c r="S77" s="538"/>
      <c r="T77" s="165"/>
      <c r="U77" s="202"/>
      <c r="V77" s="173">
        <v>-99</v>
      </c>
      <c r="W77" s="538">
        <v>-95</v>
      </c>
      <c r="X77" s="165"/>
      <c r="Y77" s="202"/>
      <c r="AA77" s="43"/>
      <c r="AB77" s="255"/>
      <c r="AC77" s="255"/>
      <c r="AD77" s="255"/>
      <c r="AE77" s="255"/>
      <c r="AF77" s="255"/>
      <c r="AG77" s="255">
        <f t="shared" si="67"/>
        <v>-194</v>
      </c>
    </row>
    <row r="78" spans="1:37" s="133" customFormat="1" ht="12.75" customHeight="1" x14ac:dyDescent="0.25">
      <c r="A78" s="186" t="s">
        <v>12</v>
      </c>
      <c r="B78" s="362"/>
      <c r="C78" s="401"/>
      <c r="D78" s="165"/>
      <c r="E78" s="202"/>
      <c r="F78" s="362"/>
      <c r="G78" s="401"/>
      <c r="H78" s="401"/>
      <c r="I78" s="202"/>
      <c r="J78" s="173"/>
      <c r="K78" s="538"/>
      <c r="L78" s="165"/>
      <c r="M78" s="202"/>
      <c r="N78" s="173"/>
      <c r="O78" s="538"/>
      <c r="P78" s="165"/>
      <c r="Q78" s="202"/>
      <c r="R78" s="173"/>
      <c r="S78" s="538"/>
      <c r="T78" s="165"/>
      <c r="U78" s="202"/>
      <c r="V78" s="173">
        <v>-18</v>
      </c>
      <c r="W78" s="538">
        <v>0</v>
      </c>
      <c r="X78" s="165"/>
      <c r="Y78" s="202"/>
      <c r="AA78" s="43"/>
      <c r="AB78" s="255"/>
      <c r="AC78" s="255"/>
      <c r="AD78" s="255"/>
      <c r="AE78" s="255"/>
      <c r="AF78" s="255"/>
      <c r="AG78" s="255">
        <f t="shared" si="67"/>
        <v>-18</v>
      </c>
    </row>
    <row r="79" spans="1:37" s="133" customFormat="1" ht="12.75" customHeight="1" x14ac:dyDescent="0.25">
      <c r="A79" s="186" t="s">
        <v>322</v>
      </c>
      <c r="B79" s="362"/>
      <c r="C79" s="401"/>
      <c r="D79" s="165"/>
      <c r="E79" s="202"/>
      <c r="F79" s="362"/>
      <c r="G79" s="401"/>
      <c r="H79" s="401"/>
      <c r="I79" s="202"/>
      <c r="J79" s="173"/>
      <c r="K79" s="538"/>
      <c r="L79" s="165"/>
      <c r="M79" s="202"/>
      <c r="N79" s="173"/>
      <c r="O79" s="538"/>
      <c r="P79" s="165"/>
      <c r="Q79" s="202"/>
      <c r="R79" s="173"/>
      <c r="S79" s="538"/>
      <c r="T79" s="165"/>
      <c r="U79" s="202"/>
      <c r="V79" s="173">
        <v>-99</v>
      </c>
      <c r="W79" s="538">
        <v>-102</v>
      </c>
      <c r="X79" s="165"/>
      <c r="Y79" s="202"/>
      <c r="AA79" s="43"/>
      <c r="AB79" s="255"/>
      <c r="AC79" s="255"/>
      <c r="AD79" s="255"/>
      <c r="AE79" s="255"/>
      <c r="AF79" s="255"/>
      <c r="AG79" s="255">
        <f t="shared" si="67"/>
        <v>-201</v>
      </c>
    </row>
    <row r="80" spans="1:37" s="133" customFormat="1" ht="12.75" customHeight="1" x14ac:dyDescent="0.25">
      <c r="A80" s="186" t="s">
        <v>160</v>
      </c>
      <c r="B80" s="362"/>
      <c r="C80" s="401"/>
      <c r="D80" s="165"/>
      <c r="E80" s="202"/>
      <c r="F80" s="362"/>
      <c r="G80" s="401"/>
      <c r="H80" s="401"/>
      <c r="I80" s="202"/>
      <c r="J80" s="173"/>
      <c r="K80" s="538"/>
      <c r="L80" s="165"/>
      <c r="M80" s="202"/>
      <c r="N80" s="173"/>
      <c r="O80" s="538"/>
      <c r="P80" s="165"/>
      <c r="Q80" s="202"/>
      <c r="R80" s="173"/>
      <c r="S80" s="538"/>
      <c r="T80" s="165"/>
      <c r="U80" s="202"/>
      <c r="V80" s="173">
        <v>0</v>
      </c>
      <c r="W80" s="538">
        <v>0</v>
      </c>
      <c r="X80" s="165"/>
      <c r="Y80" s="202"/>
      <c r="AA80" s="43"/>
      <c r="AB80" s="255"/>
      <c r="AC80" s="255"/>
      <c r="AD80" s="255"/>
      <c r="AE80" s="255"/>
      <c r="AF80" s="255"/>
      <c r="AG80" s="255">
        <f t="shared" si="67"/>
        <v>0</v>
      </c>
    </row>
    <row r="81" spans="1:33" s="133" customFormat="1" ht="12.75" customHeight="1" x14ac:dyDescent="0.25">
      <c r="A81" s="186" t="s">
        <v>119</v>
      </c>
      <c r="B81" s="362"/>
      <c r="C81" s="401"/>
      <c r="D81" s="165"/>
      <c r="E81" s="202"/>
      <c r="F81" s="362"/>
      <c r="G81" s="401"/>
      <c r="H81" s="401"/>
      <c r="I81" s="202"/>
      <c r="J81" s="173"/>
      <c r="K81" s="538"/>
      <c r="L81" s="165"/>
      <c r="M81" s="202"/>
      <c r="N81" s="173"/>
      <c r="O81" s="538"/>
      <c r="P81" s="165"/>
      <c r="Q81" s="202"/>
      <c r="R81" s="173"/>
      <c r="S81" s="538"/>
      <c r="T81" s="165"/>
      <c r="U81" s="202"/>
      <c r="V81" s="173">
        <v>-44</v>
      </c>
      <c r="W81" s="538">
        <v>-21</v>
      </c>
      <c r="X81" s="165"/>
      <c r="Y81" s="202"/>
      <c r="AA81" s="43"/>
      <c r="AB81" s="255"/>
      <c r="AC81" s="255"/>
      <c r="AD81" s="255"/>
      <c r="AE81" s="255"/>
      <c r="AF81" s="255"/>
      <c r="AG81" s="255">
        <f t="shared" si="67"/>
        <v>-65</v>
      </c>
    </row>
    <row r="82" spans="1:33" s="133" customFormat="1" ht="12.75" customHeight="1" x14ac:dyDescent="0.25">
      <c r="A82" s="613" t="s">
        <v>120</v>
      </c>
      <c r="B82" s="362"/>
      <c r="C82" s="401"/>
      <c r="D82" s="165"/>
      <c r="E82" s="261"/>
      <c r="F82" s="362"/>
      <c r="G82" s="401"/>
      <c r="H82" s="401"/>
      <c r="I82" s="261"/>
      <c r="J82" s="173"/>
      <c r="K82" s="538"/>
      <c r="L82" s="165"/>
      <c r="M82" s="261"/>
      <c r="N82" s="173"/>
      <c r="O82" s="538"/>
      <c r="P82" s="165"/>
      <c r="Q82" s="261"/>
      <c r="R82" s="173"/>
      <c r="S82" s="538"/>
      <c r="T82" s="165"/>
      <c r="U82" s="261"/>
      <c r="V82" s="362">
        <f>V52+V60+V61+V62+V63+V64+V65+V69+V73</f>
        <v>41</v>
      </c>
      <c r="W82" s="538">
        <v>20</v>
      </c>
      <c r="X82" s="165"/>
      <c r="Y82" s="261"/>
      <c r="AA82" s="43"/>
      <c r="AB82" s="256"/>
      <c r="AC82" s="256"/>
      <c r="AD82" s="256"/>
      <c r="AE82" s="256"/>
      <c r="AF82" s="256"/>
      <c r="AG82" s="256">
        <f t="shared" si="67"/>
        <v>61</v>
      </c>
    </row>
    <row r="83" spans="1:33" s="133" customFormat="1" ht="26.25" customHeight="1" thickBot="1" x14ac:dyDescent="0.3">
      <c r="A83" s="187" t="s">
        <v>177</v>
      </c>
      <c r="B83" s="191"/>
      <c r="C83" s="469"/>
      <c r="D83" s="166"/>
      <c r="E83" s="203"/>
      <c r="F83" s="191"/>
      <c r="G83" s="469"/>
      <c r="H83" s="469"/>
      <c r="I83" s="203"/>
      <c r="J83" s="174"/>
      <c r="K83" s="539"/>
      <c r="L83" s="166"/>
      <c r="M83" s="203"/>
      <c r="N83" s="174"/>
      <c r="O83" s="539"/>
      <c r="P83" s="166"/>
      <c r="Q83" s="203"/>
      <c r="R83" s="174"/>
      <c r="S83" s="539"/>
      <c r="T83" s="166"/>
      <c r="U83" s="203"/>
      <c r="V83" s="174">
        <v>842</v>
      </c>
      <c r="W83" s="539">
        <v>902</v>
      </c>
      <c r="X83" s="166"/>
      <c r="Y83" s="203"/>
      <c r="AA83" s="43"/>
      <c r="AB83" s="258"/>
      <c r="AC83" s="258"/>
      <c r="AD83" s="258"/>
      <c r="AE83" s="258"/>
      <c r="AF83" s="258"/>
      <c r="AG83" s="258">
        <f t="shared" si="67"/>
        <v>1744</v>
      </c>
    </row>
    <row r="84" spans="1:33" s="133" customFormat="1" ht="12.75" customHeight="1" thickTop="1" x14ac:dyDescent="0.25">
      <c r="A84" s="187"/>
      <c r="B84" s="413"/>
      <c r="C84" s="468"/>
      <c r="D84" s="164"/>
      <c r="E84" s="201"/>
      <c r="F84" s="413"/>
      <c r="G84" s="468"/>
      <c r="H84" s="468"/>
      <c r="I84" s="201"/>
      <c r="J84" s="172"/>
      <c r="K84" s="537"/>
      <c r="L84" s="164"/>
      <c r="M84" s="201"/>
      <c r="N84" s="172"/>
      <c r="O84" s="537"/>
      <c r="P84" s="164"/>
      <c r="Q84" s="201"/>
      <c r="R84" s="172"/>
      <c r="S84" s="537"/>
      <c r="T84" s="164"/>
      <c r="U84" s="201"/>
      <c r="V84" s="172"/>
      <c r="W84" s="537"/>
      <c r="X84" s="164"/>
      <c r="Y84" s="201"/>
      <c r="AA84" s="43"/>
      <c r="AB84" s="255"/>
      <c r="AC84" s="255"/>
      <c r="AD84" s="255"/>
      <c r="AE84" s="255"/>
      <c r="AF84" s="255"/>
      <c r="AG84" s="255"/>
    </row>
    <row r="85" spans="1:33" s="133" customFormat="1" ht="24" customHeight="1" x14ac:dyDescent="0.25">
      <c r="A85" s="187" t="s">
        <v>178</v>
      </c>
      <c r="B85" s="172"/>
      <c r="C85" s="472"/>
      <c r="D85" s="164"/>
      <c r="E85" s="160"/>
      <c r="F85" s="172"/>
      <c r="G85" s="472"/>
      <c r="H85" s="472"/>
      <c r="I85" s="160"/>
      <c r="J85" s="172"/>
      <c r="K85" s="544"/>
      <c r="L85" s="164"/>
      <c r="M85" s="160"/>
      <c r="N85" s="172"/>
      <c r="O85" s="544"/>
      <c r="P85" s="164"/>
      <c r="Q85" s="160"/>
      <c r="R85" s="172"/>
      <c r="S85" s="544"/>
      <c r="T85" s="164"/>
      <c r="U85" s="160"/>
      <c r="V85" s="172">
        <v>0</v>
      </c>
      <c r="W85" s="544">
        <v>0</v>
      </c>
      <c r="X85" s="164"/>
      <c r="Y85" s="160"/>
      <c r="AA85" s="43"/>
      <c r="AB85" s="160"/>
      <c r="AC85" s="160"/>
      <c r="AD85" s="160"/>
      <c r="AE85" s="160"/>
      <c r="AF85" s="160"/>
      <c r="AG85" s="160">
        <f t="shared" ref="AG85:AG87" si="68">SUM(V85:Y85)</f>
        <v>0</v>
      </c>
    </row>
    <row r="86" spans="1:33" s="133" customFormat="1" ht="12.75" customHeight="1" x14ac:dyDescent="0.25">
      <c r="A86" s="186" t="s">
        <v>120</v>
      </c>
      <c r="B86" s="173"/>
      <c r="C86" s="473"/>
      <c r="D86" s="165"/>
      <c r="E86" s="161"/>
      <c r="F86" s="173"/>
      <c r="G86" s="473"/>
      <c r="H86" s="473"/>
      <c r="I86" s="161"/>
      <c r="J86" s="173"/>
      <c r="K86" s="545"/>
      <c r="L86" s="165"/>
      <c r="M86" s="161"/>
      <c r="N86" s="173"/>
      <c r="O86" s="545"/>
      <c r="P86" s="165"/>
      <c r="Q86" s="161"/>
      <c r="R86" s="173"/>
      <c r="S86" s="545"/>
      <c r="T86" s="165"/>
      <c r="U86" s="161"/>
      <c r="V86" s="173">
        <v>0</v>
      </c>
      <c r="W86" s="545">
        <v>0</v>
      </c>
      <c r="X86" s="165"/>
      <c r="Y86" s="161"/>
      <c r="AA86" s="43"/>
      <c r="AB86" s="161"/>
      <c r="AC86" s="161"/>
      <c r="AD86" s="161"/>
      <c r="AE86" s="161"/>
      <c r="AF86" s="161"/>
      <c r="AG86" s="161">
        <f t="shared" si="68"/>
        <v>0</v>
      </c>
    </row>
    <row r="87" spans="1:33" s="133" customFormat="1" ht="26.25" customHeight="1" thickBot="1" x14ac:dyDescent="0.3">
      <c r="A87" s="187" t="s">
        <v>179</v>
      </c>
      <c r="B87" s="174"/>
      <c r="C87" s="470"/>
      <c r="D87" s="166"/>
      <c r="E87" s="162"/>
      <c r="F87" s="174"/>
      <c r="G87" s="470"/>
      <c r="H87" s="470"/>
      <c r="I87" s="162"/>
      <c r="J87" s="174"/>
      <c r="K87" s="541"/>
      <c r="L87" s="166"/>
      <c r="M87" s="162"/>
      <c r="N87" s="174"/>
      <c r="O87" s="541"/>
      <c r="P87" s="166"/>
      <c r="Q87" s="162"/>
      <c r="R87" s="174"/>
      <c r="S87" s="541"/>
      <c r="T87" s="166"/>
      <c r="U87" s="162"/>
      <c r="V87" s="174">
        <v>0</v>
      </c>
      <c r="W87" s="541">
        <v>0</v>
      </c>
      <c r="X87" s="166"/>
      <c r="Y87" s="162"/>
      <c r="AA87" s="43"/>
      <c r="AB87" s="225"/>
      <c r="AC87" s="225"/>
      <c r="AD87" s="225"/>
      <c r="AE87" s="225"/>
      <c r="AF87" s="225"/>
      <c r="AG87" s="225">
        <f t="shared" si="68"/>
        <v>0</v>
      </c>
    </row>
    <row r="88" spans="1:33" s="133" customFormat="1" ht="12.75" customHeight="1" thickTop="1" x14ac:dyDescent="0.25">
      <c r="A88" s="187"/>
      <c r="B88" s="172"/>
      <c r="C88" s="468"/>
      <c r="D88" s="164"/>
      <c r="E88" s="201"/>
      <c r="F88" s="172"/>
      <c r="G88" s="468"/>
      <c r="H88" s="468"/>
      <c r="I88" s="201"/>
      <c r="J88" s="172"/>
      <c r="K88" s="537"/>
      <c r="L88" s="164"/>
      <c r="M88" s="201"/>
      <c r="N88" s="172"/>
      <c r="O88" s="537"/>
      <c r="P88" s="164"/>
      <c r="Q88" s="201"/>
      <c r="R88" s="172"/>
      <c r="S88" s="537"/>
      <c r="T88" s="164"/>
      <c r="U88" s="201"/>
      <c r="V88" s="172"/>
      <c r="W88" s="537"/>
      <c r="X88" s="164"/>
      <c r="Y88" s="201"/>
      <c r="AA88" s="43"/>
      <c r="AB88" s="255"/>
      <c r="AC88" s="255"/>
      <c r="AD88" s="255"/>
      <c r="AE88" s="255"/>
      <c r="AF88" s="255"/>
      <c r="AG88" s="255"/>
    </row>
    <row r="89" spans="1:33" s="133" customFormat="1" ht="24" customHeight="1" x14ac:dyDescent="0.25">
      <c r="A89" s="187" t="s">
        <v>180</v>
      </c>
      <c r="B89" s="172"/>
      <c r="C89" s="468"/>
      <c r="D89" s="164"/>
      <c r="E89" s="201"/>
      <c r="F89" s="172"/>
      <c r="G89" s="468"/>
      <c r="H89" s="468"/>
      <c r="I89" s="201"/>
      <c r="J89" s="172"/>
      <c r="K89" s="537"/>
      <c r="L89" s="164"/>
      <c r="M89" s="201"/>
      <c r="N89" s="172"/>
      <c r="O89" s="537"/>
      <c r="P89" s="164"/>
      <c r="Q89" s="201"/>
      <c r="R89" s="172"/>
      <c r="S89" s="537"/>
      <c r="T89" s="164"/>
      <c r="U89" s="201"/>
      <c r="V89" s="172">
        <v>615</v>
      </c>
      <c r="W89" s="537">
        <v>698</v>
      </c>
      <c r="X89" s="164"/>
      <c r="Y89" s="201"/>
      <c r="AA89" s="43"/>
      <c r="AB89" s="254"/>
      <c r="AC89" s="254"/>
      <c r="AD89" s="254"/>
      <c r="AE89" s="254"/>
      <c r="AF89" s="254"/>
      <c r="AG89" s="254">
        <f t="shared" ref="AG89:AG96" si="69">SUM(V89:Y89)</f>
        <v>1313</v>
      </c>
    </row>
    <row r="90" spans="1:33" s="133" customFormat="1" ht="12.75" customHeight="1" x14ac:dyDescent="0.25">
      <c r="A90" s="186" t="s">
        <v>11</v>
      </c>
      <c r="B90" s="173"/>
      <c r="C90" s="401"/>
      <c r="D90" s="165"/>
      <c r="E90" s="202"/>
      <c r="F90" s="173"/>
      <c r="G90" s="401"/>
      <c r="H90" s="401"/>
      <c r="I90" s="202"/>
      <c r="J90" s="173"/>
      <c r="K90" s="538"/>
      <c r="L90" s="165"/>
      <c r="M90" s="202"/>
      <c r="N90" s="173"/>
      <c r="O90" s="538"/>
      <c r="P90" s="165"/>
      <c r="Q90" s="202"/>
      <c r="R90" s="173"/>
      <c r="S90" s="538"/>
      <c r="T90" s="165"/>
      <c r="U90" s="202"/>
      <c r="V90" s="173">
        <v>-99</v>
      </c>
      <c r="W90" s="538">
        <v>-95</v>
      </c>
      <c r="X90" s="165"/>
      <c r="Y90" s="202"/>
      <c r="AA90" s="43"/>
      <c r="AB90" s="255"/>
      <c r="AC90" s="255"/>
      <c r="AD90" s="255"/>
      <c r="AE90" s="255"/>
      <c r="AF90" s="255"/>
      <c r="AG90" s="255">
        <f t="shared" si="69"/>
        <v>-194</v>
      </c>
    </row>
    <row r="91" spans="1:33" s="133" customFormat="1" ht="12.75" customHeight="1" x14ac:dyDescent="0.25">
      <c r="A91" s="186" t="s">
        <v>12</v>
      </c>
      <c r="B91" s="173"/>
      <c r="C91" s="401"/>
      <c r="D91" s="165"/>
      <c r="E91" s="202"/>
      <c r="F91" s="173"/>
      <c r="G91" s="401"/>
      <c r="H91" s="401"/>
      <c r="I91" s="202"/>
      <c r="J91" s="173"/>
      <c r="K91" s="538"/>
      <c r="L91" s="165"/>
      <c r="M91" s="202"/>
      <c r="N91" s="173"/>
      <c r="O91" s="538"/>
      <c r="P91" s="165"/>
      <c r="Q91" s="202"/>
      <c r="R91" s="173"/>
      <c r="S91" s="538"/>
      <c r="T91" s="165"/>
      <c r="U91" s="202"/>
      <c r="V91" s="173">
        <v>-18</v>
      </c>
      <c r="W91" s="538">
        <v>0</v>
      </c>
      <c r="X91" s="165"/>
      <c r="Y91" s="202"/>
      <c r="AA91" s="43"/>
      <c r="AB91" s="255"/>
      <c r="AC91" s="255"/>
      <c r="AD91" s="255"/>
      <c r="AE91" s="255"/>
      <c r="AF91" s="255"/>
      <c r="AG91" s="255">
        <f t="shared" si="69"/>
        <v>-18</v>
      </c>
    </row>
    <row r="92" spans="1:33" s="133" customFormat="1" ht="12.75" customHeight="1" x14ac:dyDescent="0.25">
      <c r="A92" s="186" t="s">
        <v>322</v>
      </c>
      <c r="B92" s="173"/>
      <c r="C92" s="401"/>
      <c r="D92" s="165"/>
      <c r="E92" s="202"/>
      <c r="F92" s="173"/>
      <c r="G92" s="401"/>
      <c r="H92" s="401"/>
      <c r="I92" s="202"/>
      <c r="J92" s="173"/>
      <c r="K92" s="538"/>
      <c r="L92" s="165"/>
      <c r="M92" s="202"/>
      <c r="N92" s="173"/>
      <c r="O92" s="538"/>
      <c r="P92" s="165"/>
      <c r="Q92" s="202"/>
      <c r="R92" s="173"/>
      <c r="S92" s="538"/>
      <c r="T92" s="165"/>
      <c r="U92" s="202"/>
      <c r="V92" s="173">
        <v>-99</v>
      </c>
      <c r="W92" s="538">
        <v>-102</v>
      </c>
      <c r="X92" s="165"/>
      <c r="Y92" s="202"/>
      <c r="AA92" s="43"/>
      <c r="AB92" s="255"/>
      <c r="AC92" s="255"/>
      <c r="AD92" s="255"/>
      <c r="AE92" s="255"/>
      <c r="AF92" s="255"/>
      <c r="AG92" s="255">
        <f t="shared" si="69"/>
        <v>-201</v>
      </c>
    </row>
    <row r="93" spans="1:33" s="133" customFormat="1" ht="12.75" customHeight="1" x14ac:dyDescent="0.25">
      <c r="A93" s="186" t="s">
        <v>160</v>
      </c>
      <c r="B93" s="173"/>
      <c r="C93" s="401"/>
      <c r="D93" s="165"/>
      <c r="E93" s="202"/>
      <c r="F93" s="173"/>
      <c r="G93" s="401"/>
      <c r="H93" s="401"/>
      <c r="I93" s="202"/>
      <c r="J93" s="173"/>
      <c r="K93" s="538"/>
      <c r="L93" s="165"/>
      <c r="M93" s="202"/>
      <c r="N93" s="173"/>
      <c r="O93" s="538"/>
      <c r="P93" s="165"/>
      <c r="Q93" s="202"/>
      <c r="R93" s="173"/>
      <c r="S93" s="538"/>
      <c r="T93" s="165"/>
      <c r="U93" s="202"/>
      <c r="V93" s="173">
        <v>0</v>
      </c>
      <c r="W93" s="538">
        <v>0</v>
      </c>
      <c r="X93" s="165"/>
      <c r="Y93" s="202"/>
      <c r="AA93" s="43"/>
      <c r="AB93" s="255"/>
      <c r="AC93" s="255"/>
      <c r="AD93" s="255"/>
      <c r="AE93" s="255"/>
      <c r="AF93" s="255"/>
      <c r="AG93" s="255">
        <f t="shared" si="69"/>
        <v>0</v>
      </c>
    </row>
    <row r="94" spans="1:33" s="133" customFormat="1" ht="12.75" customHeight="1" x14ac:dyDescent="0.25">
      <c r="A94" s="186" t="s">
        <v>119</v>
      </c>
      <c r="B94" s="173"/>
      <c r="C94" s="401"/>
      <c r="D94" s="165"/>
      <c r="E94" s="202"/>
      <c r="F94" s="173"/>
      <c r="G94" s="401"/>
      <c r="H94" s="401"/>
      <c r="I94" s="202"/>
      <c r="J94" s="173"/>
      <c r="K94" s="538"/>
      <c r="L94" s="165"/>
      <c r="M94" s="202"/>
      <c r="N94" s="173"/>
      <c r="O94" s="538"/>
      <c r="P94" s="165"/>
      <c r="Q94" s="202"/>
      <c r="R94" s="173"/>
      <c r="S94" s="538"/>
      <c r="T94" s="165"/>
      <c r="U94" s="202"/>
      <c r="V94" s="173">
        <v>-44</v>
      </c>
      <c r="W94" s="538">
        <v>-21</v>
      </c>
      <c r="X94" s="165"/>
      <c r="Y94" s="202"/>
      <c r="AA94" s="43"/>
      <c r="AB94" s="255"/>
      <c r="AC94" s="255"/>
      <c r="AD94" s="255"/>
      <c r="AE94" s="255"/>
      <c r="AF94" s="255"/>
      <c r="AG94" s="255">
        <f t="shared" si="69"/>
        <v>-65</v>
      </c>
    </row>
    <row r="95" spans="1:33" s="133" customFormat="1" ht="12.75" customHeight="1" x14ac:dyDescent="0.25">
      <c r="A95" s="186" t="s">
        <v>120</v>
      </c>
      <c r="B95" s="173"/>
      <c r="C95" s="401"/>
      <c r="D95" s="165"/>
      <c r="E95" s="261"/>
      <c r="F95" s="173"/>
      <c r="G95" s="401"/>
      <c r="H95" s="401"/>
      <c r="I95" s="261"/>
      <c r="J95" s="173"/>
      <c r="K95" s="538"/>
      <c r="L95" s="165"/>
      <c r="M95" s="261"/>
      <c r="N95" s="173"/>
      <c r="O95" s="538"/>
      <c r="P95" s="165"/>
      <c r="Q95" s="261"/>
      <c r="R95" s="173"/>
      <c r="S95" s="538"/>
      <c r="T95" s="165"/>
      <c r="U95" s="261"/>
      <c r="V95" s="362">
        <f>V82</f>
        <v>41</v>
      </c>
      <c r="W95" s="538">
        <v>20</v>
      </c>
      <c r="X95" s="165"/>
      <c r="Y95" s="261"/>
      <c r="AA95" s="43"/>
      <c r="AB95" s="256"/>
      <c r="AC95" s="256"/>
      <c r="AD95" s="256"/>
      <c r="AE95" s="256"/>
      <c r="AF95" s="256"/>
      <c r="AG95" s="256">
        <f t="shared" si="69"/>
        <v>61</v>
      </c>
    </row>
    <row r="96" spans="1:33" s="133" customFormat="1" ht="25.5" customHeight="1" thickBot="1" x14ac:dyDescent="0.3">
      <c r="A96" s="187" t="s">
        <v>181</v>
      </c>
      <c r="B96" s="174"/>
      <c r="C96" s="469"/>
      <c r="D96" s="166"/>
      <c r="E96" s="203"/>
      <c r="F96" s="174"/>
      <c r="G96" s="469"/>
      <c r="H96" s="469"/>
      <c r="I96" s="203"/>
      <c r="J96" s="174"/>
      <c r="K96" s="539"/>
      <c r="L96" s="166"/>
      <c r="M96" s="203"/>
      <c r="N96" s="174"/>
      <c r="O96" s="539"/>
      <c r="P96" s="166"/>
      <c r="Q96" s="203"/>
      <c r="R96" s="174"/>
      <c r="S96" s="539"/>
      <c r="T96" s="166"/>
      <c r="U96" s="203"/>
      <c r="V96" s="174">
        <v>834</v>
      </c>
      <c r="W96" s="539">
        <v>896</v>
      </c>
      <c r="X96" s="166"/>
      <c r="Y96" s="203"/>
      <c r="AA96" s="421"/>
      <c r="AB96" s="258"/>
      <c r="AC96" s="258"/>
      <c r="AD96" s="258"/>
      <c r="AE96" s="258"/>
      <c r="AF96" s="258"/>
      <c r="AG96" s="258">
        <f t="shared" si="69"/>
        <v>1730</v>
      </c>
    </row>
    <row r="97" spans="1:33" s="133" customFormat="1" ht="12.75" customHeight="1" thickTop="1" x14ac:dyDescent="0.25">
      <c r="A97" s="352"/>
      <c r="B97" s="173"/>
      <c r="C97" s="193"/>
      <c r="D97" s="165"/>
      <c r="E97" s="202"/>
      <c r="F97" s="173"/>
      <c r="G97" s="193"/>
      <c r="H97" s="165"/>
      <c r="I97" s="202"/>
      <c r="J97" s="173"/>
      <c r="K97" s="193"/>
      <c r="L97" s="165"/>
      <c r="M97" s="202"/>
      <c r="N97" s="173"/>
      <c r="O97" s="193"/>
      <c r="P97" s="165"/>
      <c r="Q97" s="202"/>
      <c r="R97" s="173"/>
      <c r="S97" s="193"/>
      <c r="T97" s="165"/>
      <c r="U97" s="202"/>
      <c r="V97" s="173"/>
      <c r="W97" s="193"/>
      <c r="X97" s="165"/>
      <c r="Y97" s="202"/>
      <c r="AA97" s="43"/>
      <c r="AB97" s="255"/>
      <c r="AC97" s="255"/>
      <c r="AD97" s="255"/>
      <c r="AE97" s="255"/>
      <c r="AF97" s="255"/>
      <c r="AG97" s="255"/>
    </row>
    <row r="98" spans="1:33" s="133" customFormat="1" ht="12.75" customHeight="1" x14ac:dyDescent="0.25">
      <c r="A98" s="352" t="s">
        <v>182</v>
      </c>
      <c r="B98" s="173"/>
      <c r="C98" s="193"/>
      <c r="D98" s="165"/>
      <c r="E98" s="261"/>
      <c r="F98" s="173"/>
      <c r="G98" s="193"/>
      <c r="H98" s="165"/>
      <c r="I98" s="261"/>
      <c r="J98" s="173"/>
      <c r="K98" s="193"/>
      <c r="L98" s="165"/>
      <c r="M98" s="261"/>
      <c r="N98" s="173"/>
      <c r="O98" s="193"/>
      <c r="P98" s="165"/>
      <c r="Q98" s="261"/>
      <c r="R98" s="173"/>
      <c r="S98" s="193"/>
      <c r="T98" s="165"/>
      <c r="U98" s="261"/>
      <c r="V98" s="173">
        <v>261210</v>
      </c>
      <c r="W98" s="193">
        <v>261303</v>
      </c>
      <c r="X98" s="165"/>
      <c r="Y98" s="261"/>
      <c r="AA98" s="228"/>
      <c r="AB98" s="270"/>
      <c r="AC98" s="270"/>
      <c r="AD98" s="270"/>
      <c r="AE98" s="270"/>
      <c r="AF98" s="270"/>
      <c r="AG98" s="270">
        <v>261278</v>
      </c>
    </row>
    <row r="99" spans="1:33" s="133" customFormat="1" ht="12.75" customHeight="1" x14ac:dyDescent="0.25">
      <c r="A99" s="186" t="s">
        <v>183</v>
      </c>
      <c r="B99" s="173"/>
      <c r="C99" s="422"/>
      <c r="D99" s="165"/>
      <c r="E99" s="188"/>
      <c r="F99" s="173"/>
      <c r="G99" s="422"/>
      <c r="H99" s="165"/>
      <c r="I99" s="188"/>
      <c r="J99" s="173"/>
      <c r="K99" s="422"/>
      <c r="L99" s="165"/>
      <c r="M99" s="188"/>
      <c r="N99" s="173"/>
      <c r="O99" s="422"/>
      <c r="P99" s="165"/>
      <c r="Q99" s="188"/>
      <c r="R99" s="173"/>
      <c r="S99" s="422"/>
      <c r="T99" s="165"/>
      <c r="U99" s="188"/>
      <c r="V99" s="173">
        <v>0</v>
      </c>
      <c r="W99" s="422">
        <v>0</v>
      </c>
      <c r="X99" s="165"/>
      <c r="Y99" s="188"/>
      <c r="AA99" s="228"/>
      <c r="AB99" s="271"/>
      <c r="AC99" s="271"/>
      <c r="AD99" s="271"/>
      <c r="AE99" s="271"/>
      <c r="AF99" s="271"/>
      <c r="AG99" s="271">
        <v>0</v>
      </c>
    </row>
    <row r="100" spans="1:33" s="133" customFormat="1" ht="12.75" customHeight="1" thickBot="1" x14ac:dyDescent="0.3">
      <c r="A100" s="352" t="s">
        <v>184</v>
      </c>
      <c r="B100" s="177"/>
      <c r="C100" s="423"/>
      <c r="D100" s="168"/>
      <c r="E100" s="272"/>
      <c r="F100" s="177"/>
      <c r="G100" s="423"/>
      <c r="H100" s="168"/>
      <c r="I100" s="272"/>
      <c r="J100" s="177"/>
      <c r="K100" s="423"/>
      <c r="L100" s="168"/>
      <c r="M100" s="272"/>
      <c r="N100" s="177"/>
      <c r="O100" s="423"/>
      <c r="P100" s="168"/>
      <c r="Q100" s="272"/>
      <c r="R100" s="177"/>
      <c r="S100" s="423"/>
      <c r="T100" s="168"/>
      <c r="U100" s="272"/>
      <c r="V100" s="177">
        <v>261210</v>
      </c>
      <c r="W100" s="423">
        <v>261303</v>
      </c>
      <c r="X100" s="168"/>
      <c r="Y100" s="272"/>
      <c r="AA100" s="228"/>
      <c r="AB100" s="424"/>
      <c r="AC100" s="424"/>
      <c r="AD100" s="424"/>
      <c r="AE100" s="424"/>
      <c r="AF100" s="424"/>
      <c r="AG100" s="424">
        <v>261278</v>
      </c>
    </row>
    <row r="101" spans="1:33" s="133" customFormat="1" ht="12.75" customHeight="1" thickTop="1" x14ac:dyDescent="0.25">
      <c r="A101" s="352"/>
      <c r="B101" s="175"/>
      <c r="C101" s="514"/>
      <c r="D101" s="167"/>
      <c r="E101" s="204"/>
      <c r="F101" s="175"/>
      <c r="G101" s="514"/>
      <c r="H101" s="167"/>
      <c r="I101" s="204"/>
      <c r="J101" s="175"/>
      <c r="K101" s="514"/>
      <c r="L101" s="167"/>
      <c r="M101" s="204"/>
      <c r="N101" s="175"/>
      <c r="O101" s="514"/>
      <c r="P101" s="167"/>
      <c r="Q101" s="204"/>
      <c r="R101" s="175"/>
      <c r="S101" s="514"/>
      <c r="T101" s="167"/>
      <c r="U101" s="204"/>
      <c r="V101" s="175"/>
      <c r="W101" s="514"/>
      <c r="X101" s="167"/>
      <c r="Y101" s="204"/>
      <c r="AB101" s="255"/>
      <c r="AC101" s="255"/>
      <c r="AD101" s="255"/>
      <c r="AE101" s="255"/>
      <c r="AF101" s="255"/>
      <c r="AG101" s="255"/>
    </row>
    <row r="102" spans="1:33" s="133" customFormat="1" ht="12.75" customHeight="1" x14ac:dyDescent="0.25">
      <c r="A102" s="187" t="s">
        <v>185</v>
      </c>
      <c r="B102" s="426"/>
      <c r="C102" s="520"/>
      <c r="D102" s="425"/>
      <c r="E102" s="427"/>
      <c r="F102" s="426"/>
      <c r="G102" s="520"/>
      <c r="H102" s="425"/>
      <c r="I102" s="427"/>
      <c r="J102" s="426"/>
      <c r="K102" s="520"/>
      <c r="L102" s="425"/>
      <c r="M102" s="427"/>
      <c r="N102" s="426"/>
      <c r="O102" s="520"/>
      <c r="P102" s="425"/>
      <c r="Q102" s="427"/>
      <c r="R102" s="426"/>
      <c r="S102" s="520"/>
      <c r="T102" s="425"/>
      <c r="U102" s="427"/>
      <c r="V102" s="426">
        <f t="shared" ref="V102" si="70">(V89*1000)/V98</f>
        <v>2.3544274721488456</v>
      </c>
      <c r="W102" s="520">
        <v>2.67</v>
      </c>
      <c r="X102" s="425"/>
      <c r="Y102" s="427"/>
      <c r="AB102" s="428"/>
      <c r="AC102" s="428"/>
      <c r="AD102" s="428"/>
      <c r="AE102" s="428"/>
      <c r="AF102" s="428"/>
      <c r="AG102" s="428">
        <v>5.03</v>
      </c>
    </row>
    <row r="103" spans="1:33" s="133" customFormat="1" ht="24" customHeight="1" x14ac:dyDescent="0.25">
      <c r="A103" s="187" t="s">
        <v>186</v>
      </c>
      <c r="B103" s="426"/>
      <c r="C103" s="520"/>
      <c r="D103" s="425"/>
      <c r="E103" s="427"/>
      <c r="F103" s="426"/>
      <c r="G103" s="520"/>
      <c r="H103" s="425"/>
      <c r="I103" s="427"/>
      <c r="J103" s="426"/>
      <c r="K103" s="520"/>
      <c r="L103" s="425"/>
      <c r="M103" s="427"/>
      <c r="N103" s="426"/>
      <c r="O103" s="520"/>
      <c r="P103" s="425"/>
      <c r="Q103" s="427"/>
      <c r="R103" s="426"/>
      <c r="S103" s="520"/>
      <c r="T103" s="425"/>
      <c r="U103" s="427"/>
      <c r="V103" s="426">
        <f t="shared" ref="V103" si="71">(V96*1000)/V100</f>
        <v>3.1928333524750201</v>
      </c>
      <c r="W103" s="520">
        <v>3.43</v>
      </c>
      <c r="X103" s="425"/>
      <c r="Y103" s="427"/>
      <c r="AB103" s="429"/>
      <c r="AC103" s="429"/>
      <c r="AD103" s="429"/>
      <c r="AE103" s="429"/>
      <c r="AF103" s="429"/>
      <c r="AG103" s="429">
        <v>6.62</v>
      </c>
    </row>
    <row r="104" spans="1:33" ht="12.75" customHeight="1" thickBot="1" x14ac:dyDescent="0.3">
      <c r="A104" s="109"/>
      <c r="B104" s="109"/>
      <c r="C104" s="430"/>
      <c r="D104" s="109"/>
      <c r="E104" s="109"/>
      <c r="F104" s="109"/>
      <c r="G104" s="430"/>
      <c r="H104" s="109"/>
      <c r="I104" s="109"/>
      <c r="J104" s="109"/>
      <c r="K104" s="430"/>
      <c r="L104" s="109"/>
      <c r="M104" s="109"/>
      <c r="N104" s="109"/>
      <c r="O104" s="430"/>
      <c r="P104" s="109"/>
      <c r="Q104" s="109"/>
      <c r="R104" s="109"/>
      <c r="S104" s="430"/>
      <c r="T104" s="109"/>
      <c r="U104" s="109"/>
      <c r="V104" s="109"/>
      <c r="W104" s="430"/>
      <c r="X104" s="109"/>
      <c r="Y104" s="109"/>
      <c r="AB104" s="109"/>
      <c r="AC104" s="109"/>
      <c r="AD104" s="109"/>
      <c r="AE104" s="109"/>
      <c r="AF104" s="109"/>
      <c r="AG104" s="109"/>
    </row>
    <row r="106" spans="1:33" s="133" customFormat="1" ht="15.5" x14ac:dyDescent="0.25">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54"/>
      <c r="Z106" s="354"/>
    </row>
    <row r="107" spans="1:33" s="133" customFormat="1" ht="15.5" x14ac:dyDescent="0.25">
      <c r="A107" s="388"/>
      <c r="B107" s="388"/>
      <c r="C107" s="388"/>
      <c r="D107" s="388"/>
      <c r="E107" s="388"/>
      <c r="F107" s="388"/>
      <c r="G107" s="388"/>
      <c r="H107" s="388"/>
      <c r="I107" s="388"/>
      <c r="J107" s="388"/>
      <c r="K107" s="388"/>
      <c r="L107" s="388"/>
      <c r="M107" s="388"/>
      <c r="N107" s="388"/>
      <c r="O107" s="388"/>
      <c r="P107" s="388"/>
      <c r="Q107" s="388"/>
      <c r="R107" s="388"/>
      <c r="S107" s="388"/>
      <c r="T107" s="388"/>
      <c r="U107" s="388"/>
      <c r="V107" s="388"/>
      <c r="W107" s="388"/>
      <c r="X107" s="388"/>
      <c r="Y107" s="354"/>
      <c r="Z107" s="354"/>
    </row>
    <row r="108" spans="1:33" s="133" customFormat="1" ht="15.5" x14ac:dyDescent="0.25">
      <c r="A108" s="388"/>
      <c r="B108" s="388"/>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54"/>
      <c r="Z108" s="354"/>
    </row>
    <row r="131" spans="1:1" x14ac:dyDescent="0.25">
      <c r="A131" s="187"/>
    </row>
    <row r="132" spans="1:1" x14ac:dyDescent="0.25">
      <c r="A132" s="186"/>
    </row>
    <row r="133" spans="1:1" x14ac:dyDescent="0.25">
      <c r="A133" s="186"/>
    </row>
    <row r="134" spans="1:1" x14ac:dyDescent="0.25">
      <c r="A134" s="186"/>
    </row>
    <row r="135" spans="1:1" x14ac:dyDescent="0.25">
      <c r="A135" s="186"/>
    </row>
    <row r="136" spans="1:1" x14ac:dyDescent="0.25">
      <c r="A136" s="186"/>
    </row>
    <row r="137" spans="1:1" x14ac:dyDescent="0.25">
      <c r="A137" s="186"/>
    </row>
    <row r="138" spans="1:1" x14ac:dyDescent="0.25">
      <c r="A138" s="187"/>
    </row>
  </sheetData>
  <pageMargins left="0.7" right="0.7" top="0.75" bottom="0.75" header="0.3" footer="0.3"/>
  <pageSetup paperSize="9"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F66"/>
  <sheetViews>
    <sheetView zoomScaleNormal="100" workbookViewId="0">
      <pane xSplit="1" ySplit="4" topLeftCell="T5" activePane="bottomRight" state="frozen"/>
      <selection activeCell="N50" sqref="N50"/>
      <selection pane="topRight" activeCell="N50" sqref="N50"/>
      <selection pane="bottomLeft" activeCell="N50" sqref="N50"/>
      <selection pane="bottomRight" activeCell="U9" sqref="U9"/>
    </sheetView>
  </sheetViews>
  <sheetFormatPr defaultRowHeight="12.5" outlineLevelCol="1" x14ac:dyDescent="0.25"/>
  <cols>
    <col min="1" max="1" width="50.453125" customWidth="1"/>
    <col min="2" max="2" width="9.1796875" style="133" customWidth="1" outlineLevel="1"/>
    <col min="3" max="3" width="9.1796875" style="87" customWidth="1" outlineLevel="1"/>
    <col min="4" max="23" width="9.1796875" style="133" customWidth="1" outlineLevel="1"/>
    <col min="24" max="25" width="9.1796875" style="133" hidden="1" customWidth="1" outlineLevel="1"/>
    <col min="26" max="26" width="9.1796875" style="133" customWidth="1" outlineLevel="1"/>
    <col min="27" max="27" width="2.7265625" customWidth="1"/>
    <col min="28" max="28" width="9.54296875" style="133" customWidth="1"/>
    <col min="29" max="29" width="9.1796875" customWidth="1"/>
    <col min="30" max="31" width="9.1796875" style="133" customWidth="1"/>
    <col min="32" max="32" width="8.7265625" style="133" customWidth="1"/>
    <col min="33" max="34" width="8.7265625" customWidth="1"/>
  </cols>
  <sheetData>
    <row r="1" spans="1:33" ht="14" x14ac:dyDescent="0.3">
      <c r="A1" s="1" t="s">
        <v>0</v>
      </c>
    </row>
    <row r="2" spans="1:33" ht="14.5" thickBot="1" x14ac:dyDescent="0.35">
      <c r="A2" s="654" t="s">
        <v>269</v>
      </c>
      <c r="AG2" s="133" t="s">
        <v>222</v>
      </c>
    </row>
    <row r="3" spans="1:33" s="3" customFormat="1" ht="14.25" customHeight="1" thickBot="1" x14ac:dyDescent="0.3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451" t="s">
        <v>235</v>
      </c>
      <c r="P3" s="221" t="s">
        <v>236</v>
      </c>
      <c r="Q3" s="108" t="s">
        <v>237</v>
      </c>
      <c r="R3" s="220" t="s">
        <v>241</v>
      </c>
      <c r="S3" s="451" t="s">
        <v>242</v>
      </c>
      <c r="T3" s="221" t="s">
        <v>243</v>
      </c>
      <c r="U3" s="108" t="s">
        <v>244</v>
      </c>
      <c r="V3" s="220" t="s">
        <v>270</v>
      </c>
      <c r="W3" s="221" t="s">
        <v>271</v>
      </c>
      <c r="X3" s="221" t="s">
        <v>272</v>
      </c>
      <c r="Y3" s="108" t="s">
        <v>273</v>
      </c>
      <c r="Z3" s="334"/>
      <c r="AB3" s="12">
        <v>2018</v>
      </c>
      <c r="AC3" s="12">
        <v>2019</v>
      </c>
      <c r="AD3" s="12">
        <v>2020</v>
      </c>
      <c r="AE3" s="12">
        <v>2021</v>
      </c>
      <c r="AF3" s="12">
        <v>2022</v>
      </c>
      <c r="AG3" s="12">
        <v>2023</v>
      </c>
    </row>
    <row r="4" spans="1:33" s="2" customFormat="1" ht="14.25" customHeight="1" x14ac:dyDescent="0.25">
      <c r="A4" s="5"/>
      <c r="B4" s="307"/>
      <c r="C4" s="521"/>
      <c r="D4" s="279"/>
      <c r="E4" s="83"/>
      <c r="F4" s="307"/>
      <c r="G4" s="521"/>
      <c r="H4" s="279"/>
      <c r="I4" s="83"/>
      <c r="J4" s="307"/>
      <c r="K4" s="521"/>
      <c r="L4" s="279"/>
      <c r="M4" s="83"/>
      <c r="N4" s="307"/>
      <c r="O4" s="521"/>
      <c r="P4" s="279"/>
      <c r="Q4" s="83"/>
      <c r="R4" s="307"/>
      <c r="S4" s="521"/>
      <c r="T4" s="279"/>
      <c r="U4" s="83"/>
      <c r="V4" s="307"/>
      <c r="W4" s="521"/>
      <c r="X4" s="279"/>
      <c r="Y4" s="83"/>
      <c r="Z4" s="6"/>
      <c r="AB4" s="4"/>
      <c r="AC4" s="4"/>
      <c r="AD4" s="4"/>
      <c r="AE4" s="4"/>
      <c r="AF4" s="4"/>
      <c r="AG4" s="4"/>
    </row>
    <row r="5" spans="1:33" s="2" customFormat="1" ht="14.25" customHeight="1" x14ac:dyDescent="0.3">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v>704</v>
      </c>
      <c r="X5" s="213"/>
      <c r="Y5" s="149"/>
      <c r="Z5" s="114"/>
      <c r="AA5" s="40"/>
      <c r="AB5" s="81">
        <v>2258</v>
      </c>
      <c r="AC5" s="81">
        <f>SUM(F5:I5)</f>
        <v>272</v>
      </c>
      <c r="AD5" s="81">
        <f t="shared" ref="AD5:AD7" si="0">SUM(J5:M5)</f>
        <v>80</v>
      </c>
      <c r="AE5" s="81">
        <f>SUM(N5:Q5)</f>
        <v>1906</v>
      </c>
      <c r="AF5" s="81">
        <f>SUM(R5:U5)</f>
        <v>2833</v>
      </c>
      <c r="AG5" s="81">
        <f>SUM(V5:Y5)</f>
        <v>1327</v>
      </c>
    </row>
    <row r="6" spans="1:33" s="2" customFormat="1" ht="14.25" customHeight="1" x14ac:dyDescent="0.25">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v>0</v>
      </c>
      <c r="X6" s="280"/>
      <c r="Y6" s="212"/>
      <c r="Z6" s="578"/>
      <c r="AA6" s="40"/>
      <c r="AB6" s="41">
        <v>0</v>
      </c>
      <c r="AC6" s="41">
        <f>SUM(F6:I6)</f>
        <v>0</v>
      </c>
      <c r="AD6" s="41">
        <f t="shared" si="0"/>
        <v>0</v>
      </c>
      <c r="AE6" s="81">
        <f>SUM(N6:Q6)</f>
        <v>0</v>
      </c>
      <c r="AF6" s="81">
        <f t="shared" ref="AF6:AF7" si="1">SUM(R6:U6)</f>
        <v>0</v>
      </c>
      <c r="AG6" s="81">
        <f t="shared" ref="AG6:AG7" si="2">SUM(V6:Y6)</f>
        <v>0</v>
      </c>
    </row>
    <row r="7" spans="1:33" s="2" customFormat="1" ht="14.25" customHeight="1" x14ac:dyDescent="0.3">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v>704</v>
      </c>
      <c r="X7" s="213"/>
      <c r="Y7" s="149"/>
      <c r="Z7" s="114"/>
      <c r="AA7" s="40"/>
      <c r="AB7" s="81">
        <v>2258</v>
      </c>
      <c r="AC7" s="81">
        <f>SUM(F7:I7)</f>
        <v>272</v>
      </c>
      <c r="AD7" s="81">
        <f t="shared" si="0"/>
        <v>80</v>
      </c>
      <c r="AE7" s="81">
        <f>SUM(N7:Q7)</f>
        <v>1906</v>
      </c>
      <c r="AF7" s="81">
        <f t="shared" si="1"/>
        <v>2833</v>
      </c>
      <c r="AG7" s="81">
        <f t="shared" si="2"/>
        <v>1327</v>
      </c>
    </row>
    <row r="8" spans="1:33" s="2" customFormat="1" ht="14.25" customHeight="1" x14ac:dyDescent="0.25">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113"/>
      <c r="AA8" s="40"/>
      <c r="AB8" s="41"/>
      <c r="AC8" s="41"/>
      <c r="AD8" s="41"/>
      <c r="AE8" s="41"/>
      <c r="AF8" s="41"/>
      <c r="AG8" s="41"/>
    </row>
    <row r="9" spans="1:33" s="2" customFormat="1" ht="14.25" customHeight="1" x14ac:dyDescent="0.25">
      <c r="A9" s="360" t="s">
        <v>262</v>
      </c>
      <c r="B9" s="329"/>
      <c r="C9" s="397"/>
      <c r="D9" s="214"/>
      <c r="E9" s="150"/>
      <c r="F9" s="329"/>
      <c r="G9" s="397"/>
      <c r="H9" s="214"/>
      <c r="I9" s="150"/>
      <c r="J9" s="329"/>
      <c r="K9" s="397"/>
      <c r="L9" s="214"/>
      <c r="M9" s="150"/>
      <c r="N9" s="329"/>
      <c r="O9" s="397"/>
      <c r="P9" s="214"/>
      <c r="Q9" s="150"/>
      <c r="R9" s="329"/>
      <c r="S9" s="397"/>
      <c r="T9" s="214"/>
      <c r="U9" s="150"/>
      <c r="V9" s="329"/>
      <c r="W9" s="397"/>
      <c r="X9" s="214"/>
      <c r="Y9" s="150"/>
      <c r="Z9" s="113"/>
      <c r="AA9" s="40"/>
      <c r="AB9" s="41"/>
      <c r="AC9" s="41"/>
      <c r="AD9" s="41"/>
      <c r="AE9" s="41"/>
      <c r="AF9" s="41"/>
      <c r="AG9" s="41"/>
    </row>
    <row r="10" spans="1:33" s="2" customFormat="1" ht="14.25" customHeight="1" x14ac:dyDescent="0.25">
      <c r="A10" s="36" t="s">
        <v>263</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v>74</v>
      </c>
      <c r="X10" s="214"/>
      <c r="Y10" s="150"/>
      <c r="Z10" s="113"/>
      <c r="AA10" s="40"/>
      <c r="AB10" s="41">
        <v>335</v>
      </c>
      <c r="AC10" s="41">
        <f>SUM(F10:I10)</f>
        <v>350</v>
      </c>
      <c r="AD10" s="41">
        <f t="shared" ref="AD10:AD13" si="3">SUM(J10:M10)</f>
        <v>417</v>
      </c>
      <c r="AE10" s="559">
        <f t="shared" ref="AE10:AE23" si="4">SUM(N10:Q10)</f>
        <v>403</v>
      </c>
      <c r="AF10" s="559">
        <f t="shared" ref="AF10:AF15" si="5">SUM(R10:U10)</f>
        <v>434</v>
      </c>
      <c r="AG10" s="559">
        <f t="shared" ref="AG10:AG13" si="6">SUM(V10:Y10)</f>
        <v>156</v>
      </c>
    </row>
    <row r="11" spans="1:33" s="2" customFormat="1" ht="14.25" customHeight="1" x14ac:dyDescent="0.25">
      <c r="A11" s="35" t="s">
        <v>264</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v>158</v>
      </c>
      <c r="X11" s="280"/>
      <c r="Y11" s="212"/>
      <c r="Z11" s="578"/>
      <c r="AA11" s="40"/>
      <c r="AB11" s="41">
        <v>176</v>
      </c>
      <c r="AC11" s="41">
        <f>SUM(F11:I11)</f>
        <v>20</v>
      </c>
      <c r="AD11" s="41">
        <f t="shared" si="3"/>
        <v>-83</v>
      </c>
      <c r="AE11" s="559">
        <f t="shared" si="4"/>
        <v>272</v>
      </c>
      <c r="AF11" s="559">
        <f t="shared" si="5"/>
        <v>529</v>
      </c>
      <c r="AG11" s="559">
        <f t="shared" si="6"/>
        <v>276</v>
      </c>
    </row>
    <row r="12" spans="1:33" s="2" customFormat="1" ht="14.25" customHeight="1" x14ac:dyDescent="0.3">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v>162</v>
      </c>
      <c r="X12" s="214"/>
      <c r="Y12" s="150"/>
      <c r="Z12" s="113"/>
      <c r="AA12" s="40"/>
      <c r="AB12" s="41">
        <v>478</v>
      </c>
      <c r="AC12" s="41">
        <f>SUM(F12:I12)</f>
        <v>518</v>
      </c>
      <c r="AD12" s="41">
        <f t="shared" si="3"/>
        <v>547</v>
      </c>
      <c r="AE12" s="559">
        <f t="shared" si="4"/>
        <v>551</v>
      </c>
      <c r="AF12" s="559">
        <f t="shared" si="5"/>
        <v>605</v>
      </c>
      <c r="AG12" s="559">
        <f t="shared" si="6"/>
        <v>322</v>
      </c>
    </row>
    <row r="13" spans="1:33" s="2" customFormat="1" ht="14.25" customHeight="1" x14ac:dyDescent="0.25">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v>119</v>
      </c>
      <c r="X13" s="214"/>
      <c r="Y13" s="150"/>
      <c r="Z13" s="113"/>
      <c r="AA13" s="40"/>
      <c r="AB13" s="41">
        <v>1509</v>
      </c>
      <c r="AC13" s="41">
        <f>SUM(F13:I13)</f>
        <v>1529</v>
      </c>
      <c r="AD13" s="41">
        <f t="shared" si="3"/>
        <v>1441</v>
      </c>
      <c r="AE13" s="559">
        <f t="shared" si="4"/>
        <v>711</v>
      </c>
      <c r="AF13" s="559">
        <f t="shared" si="5"/>
        <v>645</v>
      </c>
      <c r="AG13" s="559">
        <f t="shared" si="6"/>
        <v>242</v>
      </c>
    </row>
    <row r="14" spans="1:33" s="2" customFormat="1" ht="14.25" customHeight="1" x14ac:dyDescent="0.25">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113"/>
      <c r="AA14" s="40"/>
      <c r="AB14" s="41"/>
      <c r="AC14" s="41"/>
      <c r="AD14" s="41"/>
      <c r="AE14" s="559"/>
      <c r="AF14" s="559"/>
      <c r="AG14" s="559"/>
    </row>
    <row r="15" spans="1:33" s="2" customFormat="1" ht="14.25" customHeight="1" x14ac:dyDescent="0.3">
      <c r="A15" s="655" t="s">
        <v>265</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v>1217</v>
      </c>
      <c r="X15" s="213"/>
      <c r="Y15" s="149"/>
      <c r="Z15" s="114"/>
      <c r="AA15" s="40"/>
      <c r="AB15" s="81">
        <v>4756</v>
      </c>
      <c r="AC15" s="81">
        <f>SUM(F15:I15)</f>
        <v>2689</v>
      </c>
      <c r="AD15" s="81">
        <f>SUM(J15:M15)</f>
        <v>2402</v>
      </c>
      <c r="AE15" s="81">
        <f t="shared" si="4"/>
        <v>3843</v>
      </c>
      <c r="AF15" s="81">
        <f t="shared" si="5"/>
        <v>5046</v>
      </c>
      <c r="AG15" s="81">
        <f>SUM(V15:Y15)</f>
        <v>2323</v>
      </c>
    </row>
    <row r="16" spans="1:33" s="2" customFormat="1" ht="14.25" customHeight="1" x14ac:dyDescent="0.25">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113"/>
      <c r="AA16" s="40"/>
      <c r="AB16" s="41"/>
      <c r="AC16" s="41"/>
      <c r="AD16" s="41"/>
      <c r="AE16" s="559"/>
      <c r="AF16" s="559"/>
      <c r="AG16" s="559"/>
    </row>
    <row r="17" spans="1:35" s="2" customFormat="1" ht="14.25" customHeight="1" x14ac:dyDescent="0.25">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v>1</v>
      </c>
      <c r="X17" s="214"/>
      <c r="Y17" s="150"/>
      <c r="Z17" s="113"/>
      <c r="AA17" s="40"/>
      <c r="AB17" s="41">
        <v>-59</v>
      </c>
      <c r="AC17" s="41">
        <f t="shared" ref="AC17:AC23" si="7">SUM(F17:I17)</f>
        <v>-1</v>
      </c>
      <c r="AD17" s="41">
        <f t="shared" ref="AD17:AD23" si="8">SUM(J17:M17)</f>
        <v>4</v>
      </c>
      <c r="AE17" s="559">
        <f t="shared" si="4"/>
        <v>2</v>
      </c>
      <c r="AF17" s="559">
        <f t="shared" ref="AF17:AF22" si="9">SUM(R17:U17)</f>
        <v>1</v>
      </c>
      <c r="AG17" s="559">
        <f t="shared" ref="AG17:AG23" si="10">SUM(V17:Y17)</f>
        <v>3</v>
      </c>
    </row>
    <row r="18" spans="1:35" s="2" customFormat="1" ht="14.25" customHeight="1" x14ac:dyDescent="0.25">
      <c r="A18" s="359" t="s">
        <v>164</v>
      </c>
      <c r="B18" s="329">
        <v>0</v>
      </c>
      <c r="C18" s="397">
        <v>0</v>
      </c>
      <c r="D18" s="214">
        <v>0</v>
      </c>
      <c r="E18" s="150">
        <v>0</v>
      </c>
      <c r="F18" s="329">
        <v>0</v>
      </c>
      <c r="G18" s="397">
        <v>0</v>
      </c>
      <c r="H18" s="214">
        <v>0</v>
      </c>
      <c r="I18" s="431">
        <v>8</v>
      </c>
      <c r="J18" s="329">
        <v>17</v>
      </c>
      <c r="K18" s="397">
        <v>0</v>
      </c>
      <c r="L18" s="214">
        <v>0</v>
      </c>
      <c r="M18" s="431">
        <v>0</v>
      </c>
      <c r="N18" s="329">
        <v>0</v>
      </c>
      <c r="O18" s="397">
        <v>0</v>
      </c>
      <c r="P18" s="214">
        <v>0</v>
      </c>
      <c r="Q18" s="431">
        <v>0</v>
      </c>
      <c r="R18" s="329">
        <v>0</v>
      </c>
      <c r="S18" s="397">
        <v>0</v>
      </c>
      <c r="T18" s="214">
        <v>0</v>
      </c>
      <c r="U18" s="431">
        <v>0</v>
      </c>
      <c r="V18" s="329">
        <v>0</v>
      </c>
      <c r="W18" s="397">
        <v>0</v>
      </c>
      <c r="X18" s="214"/>
      <c r="Y18" s="431"/>
      <c r="Z18" s="579"/>
      <c r="AA18" s="40"/>
      <c r="AB18" s="41">
        <v>0</v>
      </c>
      <c r="AC18" s="376">
        <f t="shared" si="7"/>
        <v>8</v>
      </c>
      <c r="AD18" s="376">
        <f t="shared" si="8"/>
        <v>17</v>
      </c>
      <c r="AE18" s="559">
        <f t="shared" si="4"/>
        <v>0</v>
      </c>
      <c r="AF18" s="559">
        <f t="shared" si="9"/>
        <v>0</v>
      </c>
      <c r="AG18" s="559">
        <f t="shared" si="10"/>
        <v>0</v>
      </c>
    </row>
    <row r="19" spans="1:35" s="2" customFormat="1" ht="14.25" customHeight="1" x14ac:dyDescent="0.25">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v>0</v>
      </c>
      <c r="X19" s="214"/>
      <c r="Y19" s="150"/>
      <c r="Z19" s="113"/>
      <c r="AA19" s="40"/>
      <c r="AB19" s="41">
        <v>6</v>
      </c>
      <c r="AC19" s="41">
        <f t="shared" si="7"/>
        <v>28</v>
      </c>
      <c r="AD19" s="41">
        <f t="shared" si="8"/>
        <v>78</v>
      </c>
      <c r="AE19" s="559">
        <f t="shared" si="4"/>
        <v>1</v>
      </c>
      <c r="AF19" s="559">
        <f t="shared" si="9"/>
        <v>-7</v>
      </c>
      <c r="AG19" s="559">
        <f t="shared" si="10"/>
        <v>18</v>
      </c>
    </row>
    <row r="20" spans="1:35" s="2" customFormat="1" ht="14.25" customHeight="1" x14ac:dyDescent="0.25">
      <c r="A20" s="36" t="s">
        <v>322</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v>102</v>
      </c>
      <c r="X20" s="214"/>
      <c r="Y20" s="150"/>
      <c r="Z20" s="113"/>
      <c r="AA20" s="40"/>
      <c r="AB20" s="41">
        <v>314</v>
      </c>
      <c r="AC20" s="41">
        <f t="shared" si="7"/>
        <v>346</v>
      </c>
      <c r="AD20" s="41">
        <f t="shared" si="8"/>
        <v>384</v>
      </c>
      <c r="AE20" s="559">
        <f t="shared" si="4"/>
        <v>353</v>
      </c>
      <c r="AF20" s="559">
        <f t="shared" si="9"/>
        <v>364</v>
      </c>
      <c r="AG20" s="559">
        <f t="shared" si="10"/>
        <v>201</v>
      </c>
    </row>
    <row r="21" spans="1:35" s="2" customFormat="1" ht="14.25" customHeight="1" x14ac:dyDescent="0.25">
      <c r="A21" s="360" t="s">
        <v>320</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v>0</v>
      </c>
      <c r="X21" s="214"/>
      <c r="Y21" s="150"/>
      <c r="Z21" s="113"/>
      <c r="AA21" s="40"/>
      <c r="AB21" s="41">
        <v>-1848</v>
      </c>
      <c r="AC21" s="41">
        <f t="shared" si="7"/>
        <v>33</v>
      </c>
      <c r="AD21" s="41">
        <f t="shared" si="8"/>
        <v>8</v>
      </c>
      <c r="AE21" s="559">
        <f t="shared" si="4"/>
        <v>0</v>
      </c>
      <c r="AF21" s="559">
        <f t="shared" si="9"/>
        <v>0</v>
      </c>
      <c r="AG21" s="559">
        <f t="shared" si="10"/>
        <v>0</v>
      </c>
    </row>
    <row r="22" spans="1:35" s="2" customFormat="1" ht="14.25" customHeight="1" x14ac:dyDescent="0.25">
      <c r="A22" s="361" t="s">
        <v>321</v>
      </c>
      <c r="B22" s="329">
        <v>1</v>
      </c>
      <c r="C22" s="397">
        <v>4</v>
      </c>
      <c r="D22" s="214">
        <v>-36</v>
      </c>
      <c r="E22" s="150">
        <v>13</v>
      </c>
      <c r="F22" s="329">
        <v>6</v>
      </c>
      <c r="G22" s="397">
        <v>4</v>
      </c>
      <c r="H22" s="214">
        <v>-17</v>
      </c>
      <c r="I22" s="150">
        <v>4</v>
      </c>
      <c r="J22" s="329">
        <v>-107</v>
      </c>
      <c r="K22" s="397">
        <v>3</v>
      </c>
      <c r="L22" s="556">
        <v>2</v>
      </c>
      <c r="M22" s="431">
        <v>1</v>
      </c>
      <c r="N22" s="329">
        <v>11</v>
      </c>
      <c r="O22" s="397">
        <v>4</v>
      </c>
      <c r="P22" s="556">
        <v>8</v>
      </c>
      <c r="Q22" s="431">
        <v>10</v>
      </c>
      <c r="R22" s="329">
        <v>8</v>
      </c>
      <c r="S22" s="397">
        <v>16</v>
      </c>
      <c r="T22" s="556">
        <v>33</v>
      </c>
      <c r="U22" s="431">
        <v>8</v>
      </c>
      <c r="V22" s="329">
        <v>42</v>
      </c>
      <c r="W22" s="397">
        <v>21</v>
      </c>
      <c r="X22" s="556"/>
      <c r="Y22" s="431"/>
      <c r="Z22" s="579"/>
      <c r="AA22" s="40"/>
      <c r="AB22" s="41">
        <v>-18</v>
      </c>
      <c r="AC22" s="41">
        <f t="shared" si="7"/>
        <v>-3</v>
      </c>
      <c r="AD22" s="376">
        <f t="shared" si="8"/>
        <v>-101</v>
      </c>
      <c r="AE22" s="559">
        <f t="shared" si="4"/>
        <v>33</v>
      </c>
      <c r="AF22" s="559">
        <f t="shared" si="9"/>
        <v>65</v>
      </c>
      <c r="AG22" s="559">
        <f t="shared" si="10"/>
        <v>63</v>
      </c>
    </row>
    <row r="23" spans="1:35" s="2" customFormat="1" ht="14.25" customHeight="1" x14ac:dyDescent="0.25">
      <c r="A23" s="35" t="s">
        <v>266</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v>0</v>
      </c>
      <c r="X23" s="280"/>
      <c r="Y23" s="212"/>
      <c r="Z23" s="578"/>
      <c r="AA23" s="40"/>
      <c r="AB23" s="41">
        <v>0</v>
      </c>
      <c r="AC23" s="41">
        <f t="shared" si="7"/>
        <v>0</v>
      </c>
      <c r="AD23" s="41">
        <f t="shared" si="8"/>
        <v>0</v>
      </c>
      <c r="AE23" s="559">
        <f t="shared" si="4"/>
        <v>0</v>
      </c>
      <c r="AF23" s="559">
        <f>SUM(R23:U23)</f>
        <v>0</v>
      </c>
      <c r="AG23" s="559">
        <f t="shared" si="10"/>
        <v>0</v>
      </c>
    </row>
    <row r="24" spans="1:35" s="2" customFormat="1" ht="14.25" customHeight="1" x14ac:dyDescent="0.25">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113"/>
      <c r="AA24" s="40"/>
      <c r="AB24" s="41"/>
      <c r="AC24" s="41"/>
      <c r="AD24" s="41"/>
      <c r="AE24" s="41"/>
      <c r="AF24" s="41"/>
      <c r="AG24" s="41"/>
    </row>
    <row r="25" spans="1:35" s="2" customFormat="1" ht="14.25" customHeight="1" thickBot="1" x14ac:dyDescent="0.35">
      <c r="A25" s="38" t="s">
        <v>268</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v>1341</v>
      </c>
      <c r="X25" s="213"/>
      <c r="Y25" s="149"/>
      <c r="Z25" s="114"/>
      <c r="AA25" s="40"/>
      <c r="AB25" s="81">
        <v>3151</v>
      </c>
      <c r="AC25" s="81">
        <f t="shared" ref="AC25" si="11">SUM(F25:I25)</f>
        <v>3100</v>
      </c>
      <c r="AD25" s="81">
        <f>SUM(J25:M25)</f>
        <v>2792</v>
      </c>
      <c r="AE25" s="81">
        <f>SUM(N25:Q25)</f>
        <v>4232</v>
      </c>
      <c r="AF25" s="81">
        <f t="shared" ref="AF25" si="12">SUM(R25:U25)</f>
        <v>5469</v>
      </c>
      <c r="AG25" s="656">
        <f>SUM(V25:Y25)</f>
        <v>2608</v>
      </c>
      <c r="AH25" s="62"/>
      <c r="AI25" s="62"/>
    </row>
    <row r="26" spans="1:35" s="2" customFormat="1" ht="14.25" customHeight="1" thickBot="1" x14ac:dyDescent="0.35">
      <c r="A26" s="147" t="s">
        <v>267</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v>5437</v>
      </c>
      <c r="X26" s="215"/>
      <c r="Y26" s="151"/>
      <c r="Z26" s="114"/>
      <c r="AA26" s="40"/>
      <c r="AB26" s="82">
        <v>3151</v>
      </c>
      <c r="AC26" s="82">
        <f>+AC25</f>
        <v>3100</v>
      </c>
      <c r="AD26" s="82">
        <f>AD25</f>
        <v>2792</v>
      </c>
      <c r="AE26" s="82">
        <f>AE25</f>
        <v>4232</v>
      </c>
      <c r="AF26" s="82">
        <f>AF25</f>
        <v>5469</v>
      </c>
      <c r="AG26" s="656">
        <f>AG25</f>
        <v>2608</v>
      </c>
      <c r="AH26" s="657" t="s">
        <v>333</v>
      </c>
      <c r="AI26" s="657"/>
    </row>
    <row r="27" spans="1:35" s="2" customFormat="1" x14ac:dyDescent="0.25">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row>
    <row r="28" spans="1:35" s="2" customFormat="1" x14ac:dyDescent="0.25">
      <c r="A28" s="180" t="s">
        <v>95</v>
      </c>
      <c r="B28" s="386">
        <v>0</v>
      </c>
      <c r="C28" s="522">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c r="AA28" s="155"/>
      <c r="AB28" s="155">
        <v>0</v>
      </c>
      <c r="AC28" s="155">
        <f t="shared" ref="AC28:AC29" si="13">SUM(F28:I28)</f>
        <v>0</v>
      </c>
      <c r="AD28" s="155">
        <f>SUM(J28:M28)</f>
        <v>0</v>
      </c>
      <c r="AE28" s="155">
        <f>SUM(N28:Q28)</f>
        <v>0</v>
      </c>
      <c r="AF28" s="155">
        <f t="shared" ref="AF28:AF29" si="14">SUM(R28:U28)</f>
        <v>0</v>
      </c>
      <c r="AG28" s="155">
        <f t="shared" ref="AG28:AG29" si="15">SUM(V28:Y28)</f>
        <v>0</v>
      </c>
    </row>
    <row r="29" spans="1:35" s="2" customFormat="1" x14ac:dyDescent="0.25">
      <c r="A29" s="180" t="s">
        <v>96</v>
      </c>
      <c r="B29" s="387">
        <v>0</v>
      </c>
      <c r="C29" s="523">
        <v>0</v>
      </c>
      <c r="D29" s="387">
        <v>0</v>
      </c>
      <c r="E29" s="387">
        <v>0</v>
      </c>
      <c r="F29" s="387">
        <v>0</v>
      </c>
      <c r="G29" s="387">
        <v>0</v>
      </c>
      <c r="H29" s="387">
        <v>0</v>
      </c>
      <c r="I29" s="387">
        <v>0</v>
      </c>
      <c r="J29" s="387">
        <v>0</v>
      </c>
      <c r="K29" s="387">
        <v>0</v>
      </c>
      <c r="L29" s="523">
        <v>6</v>
      </c>
      <c r="M29" s="523">
        <v>2</v>
      </c>
      <c r="N29" s="387">
        <v>0</v>
      </c>
      <c r="O29" s="387">
        <v>0</v>
      </c>
      <c r="P29" s="523">
        <v>0</v>
      </c>
      <c r="Q29" s="523">
        <v>0</v>
      </c>
      <c r="R29" s="387">
        <v>0</v>
      </c>
      <c r="S29" s="387">
        <v>0</v>
      </c>
      <c r="T29" s="387">
        <v>0</v>
      </c>
      <c r="U29" s="387">
        <v>0</v>
      </c>
      <c r="V29" s="387">
        <v>2</v>
      </c>
      <c r="W29" s="387">
        <v>0</v>
      </c>
      <c r="X29" s="387">
        <v>0</v>
      </c>
      <c r="Y29" s="387">
        <v>0</v>
      </c>
      <c r="Z29" s="523"/>
      <c r="AA29" s="155"/>
      <c r="AB29" s="155">
        <v>0</v>
      </c>
      <c r="AC29" s="155">
        <f t="shared" si="13"/>
        <v>0</v>
      </c>
      <c r="AD29" s="364">
        <f>SUM(J29:M29)</f>
        <v>8</v>
      </c>
      <c r="AE29" s="364">
        <f>SUM(N29:Q29)</f>
        <v>0</v>
      </c>
      <c r="AF29" s="364">
        <f t="shared" si="14"/>
        <v>0</v>
      </c>
      <c r="AG29" s="364">
        <f t="shared" si="15"/>
        <v>2</v>
      </c>
    </row>
    <row r="30" spans="1:35" x14ac:dyDescent="0.25">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G30" s="133"/>
    </row>
    <row r="31" spans="1:35" s="133" customFormat="1" x14ac:dyDescent="0.25">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35" x14ac:dyDescent="0.25">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G32" s="133"/>
    </row>
    <row r="33" spans="1:188" ht="14.5" thickBot="1" x14ac:dyDescent="0.35">
      <c r="A33" s="1" t="s">
        <v>142</v>
      </c>
      <c r="AA33" s="133"/>
      <c r="AG33" s="133"/>
    </row>
    <row r="34" spans="1:188" ht="13.5" thickBot="1" x14ac:dyDescent="0.35">
      <c r="A34" s="11" t="s">
        <v>5</v>
      </c>
      <c r="B34" s="220" t="s">
        <v>187</v>
      </c>
      <c r="C34" s="451" t="s">
        <v>188</v>
      </c>
      <c r="D34" s="221" t="s">
        <v>189</v>
      </c>
      <c r="E34" s="108" t="s">
        <v>190</v>
      </c>
      <c r="F34" s="220" t="s">
        <v>208</v>
      </c>
      <c r="G34" s="451" t="s">
        <v>212</v>
      </c>
      <c r="H34" s="221" t="s">
        <v>213</v>
      </c>
      <c r="I34" s="108" t="s">
        <v>214</v>
      </c>
      <c r="J34" s="220" t="s">
        <v>218</v>
      </c>
      <c r="K34" s="451" t="s">
        <v>219</v>
      </c>
      <c r="L34" s="221" t="s">
        <v>220</v>
      </c>
      <c r="M34" s="108" t="s">
        <v>221</v>
      </c>
      <c r="N34" s="220" t="s">
        <v>234</v>
      </c>
      <c r="O34" s="451" t="s">
        <v>235</v>
      </c>
      <c r="P34" s="221" t="s">
        <v>236</v>
      </c>
      <c r="Q34" s="108" t="s">
        <v>237</v>
      </c>
      <c r="R34" s="220" t="s">
        <v>241</v>
      </c>
      <c r="S34" s="451" t="s">
        <v>242</v>
      </c>
      <c r="T34" s="221" t="s">
        <v>243</v>
      </c>
      <c r="U34" s="108" t="s">
        <v>244</v>
      </c>
      <c r="V34" s="220" t="s">
        <v>270</v>
      </c>
      <c r="W34" s="221" t="s">
        <v>271</v>
      </c>
      <c r="X34" s="221" t="s">
        <v>272</v>
      </c>
      <c r="Y34" s="108" t="s">
        <v>273</v>
      </c>
      <c r="Z34" s="334"/>
      <c r="AA34" s="3"/>
      <c r="AB34" s="12">
        <v>2018</v>
      </c>
      <c r="AC34" s="12">
        <v>2019</v>
      </c>
      <c r="AD34" s="12">
        <v>2020</v>
      </c>
      <c r="AE34" s="12">
        <v>2021</v>
      </c>
      <c r="AF34" s="12">
        <v>2022</v>
      </c>
      <c r="AG34" s="12">
        <v>2023</v>
      </c>
    </row>
    <row r="35" spans="1:188" x14ac:dyDescent="0.25">
      <c r="A35" s="239"/>
      <c r="B35" s="307"/>
      <c r="C35" s="521"/>
      <c r="D35" s="279"/>
      <c r="E35" s="83"/>
      <c r="F35" s="307"/>
      <c r="G35" s="521"/>
      <c r="H35" s="279"/>
      <c r="I35" s="83"/>
      <c r="J35" s="307"/>
      <c r="K35" s="521"/>
      <c r="L35" s="279"/>
      <c r="M35" s="83"/>
      <c r="N35" s="307"/>
      <c r="O35" s="521"/>
      <c r="P35" s="279"/>
      <c r="Q35" s="83"/>
      <c r="R35" s="307"/>
      <c r="S35" s="521"/>
      <c r="T35" s="279"/>
      <c r="U35" s="83"/>
      <c r="V35" s="307"/>
      <c r="W35" s="521"/>
      <c r="X35" s="279"/>
      <c r="Y35" s="83"/>
      <c r="Z35" s="6"/>
      <c r="AA35" s="2"/>
      <c r="AB35" s="83"/>
      <c r="AC35" s="83"/>
      <c r="AD35" s="83"/>
      <c r="AE35" s="83"/>
      <c r="AF35" s="83"/>
      <c r="AG35" s="83"/>
    </row>
    <row r="36" spans="1:188" ht="13" x14ac:dyDescent="0.3">
      <c r="A36" s="240" t="s">
        <v>143</v>
      </c>
      <c r="B36" s="314">
        <v>620</v>
      </c>
      <c r="C36" s="524">
        <v>403</v>
      </c>
      <c r="D36" s="281">
        <v>2615</v>
      </c>
      <c r="E36" s="435">
        <v>731</v>
      </c>
      <c r="F36" s="314">
        <v>296</v>
      </c>
      <c r="G36" s="524">
        <v>517</v>
      </c>
      <c r="H36" s="281">
        <v>746</v>
      </c>
      <c r="I36" s="435">
        <v>814</v>
      </c>
      <c r="J36" s="314">
        <v>512</v>
      </c>
      <c r="K36" s="524">
        <v>414</v>
      </c>
      <c r="L36" s="281">
        <v>527</v>
      </c>
      <c r="M36" s="435">
        <v>1029</v>
      </c>
      <c r="N36" s="314">
        <v>732</v>
      </c>
      <c r="O36" s="524">
        <v>636</v>
      </c>
      <c r="P36" s="281">
        <v>924</v>
      </c>
      <c r="Q36" s="435">
        <v>785</v>
      </c>
      <c r="R36" s="314">
        <v>856</v>
      </c>
      <c r="S36" s="524">
        <v>819</v>
      </c>
      <c r="T36" s="281">
        <v>1144</v>
      </c>
      <c r="U36" s="435">
        <v>1076</v>
      </c>
      <c r="V36" s="314">
        <v>632</v>
      </c>
      <c r="W36" s="524">
        <v>756</v>
      </c>
      <c r="X36" s="281"/>
      <c r="Y36" s="435"/>
      <c r="Z36" s="247"/>
      <c r="AA36" s="96"/>
      <c r="AB36" s="441">
        <v>4369</v>
      </c>
      <c r="AC36" s="441">
        <f>SUM(F36:I36)</f>
        <v>2373</v>
      </c>
      <c r="AD36" s="441">
        <f>SUM(J36:M36)</f>
        <v>2482</v>
      </c>
      <c r="AE36" s="441">
        <f>SUM(N36:Q36)</f>
        <v>3077</v>
      </c>
      <c r="AF36" s="441">
        <f>SUM(R36:U36)</f>
        <v>3895</v>
      </c>
      <c r="AG36" s="441">
        <f>SUM(V36:Y36)</f>
        <v>1388</v>
      </c>
    </row>
    <row r="37" spans="1:188" s="133" customFormat="1" ht="13" x14ac:dyDescent="0.3">
      <c r="A37" s="240"/>
      <c r="B37" s="314"/>
      <c r="C37" s="524"/>
      <c r="D37" s="281"/>
      <c r="E37" s="97"/>
      <c r="F37" s="314"/>
      <c r="G37" s="524"/>
      <c r="H37" s="281"/>
      <c r="I37" s="97"/>
      <c r="J37" s="314"/>
      <c r="K37" s="524"/>
      <c r="L37" s="281"/>
      <c r="M37" s="97"/>
      <c r="N37" s="314"/>
      <c r="O37" s="524"/>
      <c r="P37" s="281"/>
      <c r="Q37" s="97"/>
      <c r="R37" s="314"/>
      <c r="S37" s="524"/>
      <c r="T37" s="281"/>
      <c r="U37" s="97"/>
      <c r="V37" s="314"/>
      <c r="W37" s="524"/>
      <c r="X37" s="281"/>
      <c r="Y37" s="97"/>
      <c r="Z37" s="128"/>
      <c r="AA37" s="96"/>
      <c r="AB37" s="233"/>
      <c r="AC37" s="233"/>
      <c r="AD37" s="233"/>
      <c r="AE37" s="233"/>
      <c r="AF37" s="233"/>
      <c r="AG37" s="233"/>
    </row>
    <row r="38" spans="1:188" x14ac:dyDescent="0.25">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f>-201+1</f>
        <v>-200</v>
      </c>
      <c r="X38" s="182"/>
      <c r="Y38" s="183"/>
      <c r="Z38" s="185"/>
      <c r="AA38" s="43"/>
      <c r="AB38" s="184">
        <v>-610</v>
      </c>
      <c r="AC38" s="184">
        <f>SUM(F38:I38)</f>
        <v>-503</v>
      </c>
      <c r="AD38" s="184">
        <f>SUM(J38:M38)</f>
        <v>-388</v>
      </c>
      <c r="AE38" s="184">
        <f>SUM(N38:Q38)</f>
        <v>-766</v>
      </c>
      <c r="AF38" s="184">
        <f>SUM(R38:U38)</f>
        <v>-1061</v>
      </c>
      <c r="AG38" s="184">
        <f>SUM(V38:Y38)</f>
        <v>-451</v>
      </c>
    </row>
    <row r="39" spans="1:188" s="133" customFormat="1" x14ac:dyDescent="0.25">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185"/>
      <c r="AA39" s="43"/>
      <c r="AB39" s="184"/>
      <c r="AC39" s="184"/>
      <c r="AD39" s="184"/>
      <c r="AE39" s="184"/>
      <c r="AF39" s="184"/>
      <c r="AG39" s="184"/>
    </row>
    <row r="40" spans="1:188" ht="13" x14ac:dyDescent="0.3">
      <c r="A40" s="241" t="s">
        <v>144</v>
      </c>
      <c r="B40" s="331">
        <v>464</v>
      </c>
      <c r="C40" s="525">
        <v>274</v>
      </c>
      <c r="D40" s="282">
        <v>2460</v>
      </c>
      <c r="E40" s="437">
        <v>561</v>
      </c>
      <c r="F40" s="331">
        <v>152</v>
      </c>
      <c r="G40" s="525">
        <v>411</v>
      </c>
      <c r="H40" s="282">
        <v>631</v>
      </c>
      <c r="I40" s="437">
        <v>676</v>
      </c>
      <c r="J40" s="331">
        <v>369</v>
      </c>
      <c r="K40" s="525">
        <v>340</v>
      </c>
      <c r="L40" s="282">
        <v>459</v>
      </c>
      <c r="M40" s="437">
        <v>926</v>
      </c>
      <c r="N40" s="331">
        <v>582</v>
      </c>
      <c r="O40" s="525">
        <v>486</v>
      </c>
      <c r="P40" s="282">
        <v>724</v>
      </c>
      <c r="Q40" s="437">
        <v>519</v>
      </c>
      <c r="R40" s="331">
        <v>577</v>
      </c>
      <c r="S40" s="525">
        <v>551</v>
      </c>
      <c r="T40" s="282">
        <v>863</v>
      </c>
      <c r="U40" s="437">
        <v>843</v>
      </c>
      <c r="V40" s="331">
        <v>381</v>
      </c>
      <c r="W40" s="525">
        <v>556</v>
      </c>
      <c r="X40" s="282"/>
      <c r="Y40" s="437"/>
      <c r="Z40" s="580"/>
      <c r="AA40" s="439"/>
      <c r="AB40" s="440">
        <v>3759</v>
      </c>
      <c r="AC40" s="440">
        <f>SUM(F40:I40)</f>
        <v>1870</v>
      </c>
      <c r="AD40" s="440">
        <f>SUM(J40:M40)</f>
        <v>2094</v>
      </c>
      <c r="AE40" s="440">
        <f>SUM(N40:Q40)</f>
        <v>2311</v>
      </c>
      <c r="AF40" s="440">
        <f>SUM(R40:U40)</f>
        <v>2834</v>
      </c>
      <c r="AG40" s="440">
        <f>SUM(V40:Y40)</f>
        <v>937</v>
      </c>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row>
    <row r="41" spans="1:188" s="572" customFormat="1" ht="13.5" thickBot="1" x14ac:dyDescent="0.35">
      <c r="A41" s="567" t="s">
        <v>145</v>
      </c>
      <c r="B41" s="568">
        <v>0.21</v>
      </c>
      <c r="C41" s="571">
        <v>0.12</v>
      </c>
      <c r="D41" s="569">
        <v>1.01</v>
      </c>
      <c r="E41" s="570">
        <v>0.23</v>
      </c>
      <c r="F41" s="568">
        <v>7.0000000000000007E-2</v>
      </c>
      <c r="G41" s="571">
        <v>0.19</v>
      </c>
      <c r="H41" s="569">
        <v>0.28000000000000003</v>
      </c>
      <c r="I41" s="570">
        <v>0.28999999999999998</v>
      </c>
      <c r="J41" s="568">
        <v>0.18</v>
      </c>
      <c r="K41" s="571">
        <v>0.19</v>
      </c>
      <c r="L41" s="569">
        <v>0.2</v>
      </c>
      <c r="M41" s="570">
        <v>0.37</v>
      </c>
      <c r="N41" s="568">
        <v>0.23</v>
      </c>
      <c r="O41" s="571">
        <v>0.19</v>
      </c>
      <c r="P41" s="569">
        <v>0.25</v>
      </c>
      <c r="Q41" s="570">
        <v>0.17</v>
      </c>
      <c r="R41" s="568">
        <v>0.18</v>
      </c>
      <c r="S41" s="571">
        <v>0.17</v>
      </c>
      <c r="T41" s="569">
        <v>0.25</v>
      </c>
      <c r="U41" s="570">
        <v>0.25</v>
      </c>
      <c r="V41" s="568">
        <v>0.12</v>
      </c>
      <c r="W41" s="571">
        <v>0.17</v>
      </c>
      <c r="X41" s="569"/>
      <c r="Y41" s="570"/>
      <c r="Z41" s="581"/>
      <c r="AA41" s="107"/>
      <c r="AB41" s="242">
        <v>0.4</v>
      </c>
      <c r="AC41" s="242">
        <v>0.21</v>
      </c>
      <c r="AD41" s="242">
        <v>0.24</v>
      </c>
      <c r="AE41" s="242">
        <v>0.21</v>
      </c>
      <c r="AF41" s="242">
        <v>0.21</v>
      </c>
      <c r="AG41" s="242"/>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row>
    <row r="42" spans="1:188" s="107" customFormat="1" ht="13" x14ac:dyDescent="0.3">
      <c r="A42" s="241"/>
      <c r="B42" s="573"/>
      <c r="C42" s="576"/>
      <c r="D42" s="574"/>
      <c r="E42" s="575"/>
      <c r="F42" s="573"/>
      <c r="G42" s="576"/>
      <c r="H42" s="574"/>
      <c r="I42" s="575"/>
      <c r="J42" s="573"/>
      <c r="K42" s="576"/>
      <c r="L42" s="574"/>
      <c r="M42" s="575"/>
      <c r="N42" s="573"/>
      <c r="O42" s="576"/>
      <c r="P42" s="574"/>
      <c r="Q42" s="575"/>
      <c r="R42" s="573"/>
      <c r="S42" s="576"/>
      <c r="T42" s="574"/>
      <c r="U42" s="575"/>
      <c r="V42" s="573"/>
      <c r="W42" s="576"/>
      <c r="X42" s="574"/>
      <c r="Y42" s="575"/>
      <c r="Z42" s="581"/>
      <c r="AB42" s="566"/>
      <c r="AC42" s="566"/>
      <c r="AD42" s="566"/>
      <c r="AE42" s="566"/>
      <c r="AF42" s="566"/>
    </row>
    <row r="43" spans="1:188" s="107" customFormat="1" ht="13" x14ac:dyDescent="0.3">
      <c r="A43" s="241" t="s">
        <v>240</v>
      </c>
      <c r="B43" s="573"/>
      <c r="C43" s="576"/>
      <c r="D43" s="574"/>
      <c r="E43" s="575"/>
      <c r="F43" s="331">
        <f>F40+E40+D40+C40</f>
        <v>3447</v>
      </c>
      <c r="G43" s="282">
        <f t="shared" ref="G43:H43" si="16">D40+E40+F40+G40</f>
        <v>3584</v>
      </c>
      <c r="H43" s="282">
        <f t="shared" si="16"/>
        <v>1755</v>
      </c>
      <c r="I43" s="437">
        <f>F40+G40+H40+I40</f>
        <v>1870</v>
      </c>
      <c r="J43" s="331">
        <f>J40+I40+H40+G40</f>
        <v>2087</v>
      </c>
      <c r="K43" s="282">
        <f t="shared" ref="K43:L43" si="17">H40+I40+J40+K40</f>
        <v>2016</v>
      </c>
      <c r="L43" s="282">
        <f t="shared" si="17"/>
        <v>1844</v>
      </c>
      <c r="M43" s="437">
        <f>J40+K40+L40+M40</f>
        <v>2094</v>
      </c>
      <c r="N43" s="331">
        <f>N40+M40+L40+K40</f>
        <v>2307</v>
      </c>
      <c r="O43" s="282">
        <f>L40+M40+N40+O40</f>
        <v>2453</v>
      </c>
      <c r="P43" s="282">
        <f>M40+N40+O40+P40</f>
        <v>2718</v>
      </c>
      <c r="Q43" s="437">
        <f>N40+O40+P40+Q40</f>
        <v>2311</v>
      </c>
      <c r="R43" s="331">
        <f>R40+Q40+P40+O40</f>
        <v>2306</v>
      </c>
      <c r="S43" s="282">
        <f>P40+Q40+R40+S40</f>
        <v>2371</v>
      </c>
      <c r="T43" s="282">
        <f>Q40+R40+S40+T40</f>
        <v>2510</v>
      </c>
      <c r="U43" s="437">
        <f>R40+S40+T40+U40</f>
        <v>2834</v>
      </c>
      <c r="V43" s="331">
        <v>2638</v>
      </c>
      <c r="W43" s="665">
        <v>2643</v>
      </c>
      <c r="X43" s="282"/>
      <c r="Y43" s="437"/>
      <c r="Z43" s="580"/>
      <c r="AB43" s="566"/>
      <c r="AC43" s="566"/>
      <c r="AD43" s="566"/>
      <c r="AE43" s="566"/>
      <c r="AF43" s="566"/>
    </row>
    <row r="44" spans="1:188" ht="27" customHeight="1" thickBot="1" x14ac:dyDescent="0.35">
      <c r="A44" s="577" t="s">
        <v>258</v>
      </c>
      <c r="B44" s="332"/>
      <c r="C44" s="526"/>
      <c r="D44" s="283"/>
      <c r="E44" s="438"/>
      <c r="F44" s="332">
        <v>0.37</v>
      </c>
      <c r="G44" s="526">
        <v>0.39</v>
      </c>
      <c r="H44" s="283">
        <v>0.2</v>
      </c>
      <c r="I44" s="438">
        <v>0.21</v>
      </c>
      <c r="J44" s="332">
        <v>0.24</v>
      </c>
      <c r="K44" s="526">
        <v>0.24</v>
      </c>
      <c r="L44" s="283">
        <v>0.22</v>
      </c>
      <c r="M44" s="438">
        <v>0.24</v>
      </c>
      <c r="N44" s="332">
        <v>0.25</v>
      </c>
      <c r="O44" s="526">
        <v>0.25</v>
      </c>
      <c r="P44" s="283">
        <v>0.26</v>
      </c>
      <c r="Q44" s="438">
        <v>0.21</v>
      </c>
      <c r="R44" s="332">
        <v>0.2</v>
      </c>
      <c r="S44" s="526">
        <v>0.19</v>
      </c>
      <c r="T44" s="283">
        <v>0.19</v>
      </c>
      <c r="U44" s="438">
        <v>0.21</v>
      </c>
      <c r="V44" s="332">
        <v>0.2</v>
      </c>
      <c r="W44" s="526">
        <v>0.2</v>
      </c>
      <c r="X44" s="283"/>
      <c r="Y44" s="438"/>
      <c r="Z44" s="581"/>
      <c r="AB44" s="566"/>
      <c r="AC44" s="566"/>
      <c r="AD44" s="566"/>
      <c r="AE44" s="566"/>
      <c r="AF44" s="566"/>
    </row>
    <row r="46" spans="1:188" x14ac:dyDescent="0.25">
      <c r="F46" s="57"/>
      <c r="G46" s="57"/>
      <c r="H46" s="57"/>
      <c r="I46" s="57"/>
      <c r="J46" s="57"/>
      <c r="K46" s="57"/>
      <c r="L46" s="57"/>
      <c r="M46" s="57"/>
      <c r="N46" s="57"/>
      <c r="O46" s="57"/>
      <c r="P46" s="57"/>
      <c r="Q46" s="57"/>
      <c r="R46" s="57"/>
      <c r="S46" s="57"/>
      <c r="T46" s="57"/>
      <c r="U46" s="57"/>
      <c r="V46" s="57"/>
      <c r="W46" s="57"/>
      <c r="X46" s="57"/>
      <c r="Y46" s="57"/>
      <c r="Z46" s="57"/>
    </row>
    <row r="47" spans="1:188" x14ac:dyDescent="0.25">
      <c r="M47" s="557"/>
      <c r="O47" s="561"/>
      <c r="Q47" s="557"/>
      <c r="S47" s="561"/>
      <c r="U47" s="557"/>
      <c r="V47" s="557"/>
      <c r="W47" s="557"/>
      <c r="X47" s="557"/>
      <c r="Y47" s="557"/>
      <c r="Z47" s="557"/>
    </row>
    <row r="48" spans="1:188" x14ac:dyDescent="0.25">
      <c r="F48" s="557"/>
      <c r="G48" s="557"/>
      <c r="H48" s="557"/>
      <c r="I48" s="557"/>
      <c r="J48" s="557"/>
      <c r="K48" s="557"/>
      <c r="L48" s="557"/>
      <c r="M48" s="557"/>
      <c r="N48" s="557"/>
      <c r="O48" s="557"/>
      <c r="P48" s="557"/>
      <c r="Q48" s="557"/>
      <c r="R48" s="557"/>
      <c r="S48" s="557"/>
      <c r="T48" s="557"/>
      <c r="U48" s="557"/>
      <c r="V48" s="557"/>
      <c r="W48" s="557"/>
      <c r="X48" s="557"/>
      <c r="Y48" s="557"/>
      <c r="Z48" s="557"/>
    </row>
    <row r="51" spans="1:20" x14ac:dyDescent="0.25">
      <c r="A51" s="238"/>
      <c r="S51" s="557"/>
      <c r="T51" s="557"/>
    </row>
    <row r="52" spans="1:20" x14ac:dyDescent="0.25">
      <c r="A52" s="238"/>
    </row>
    <row r="66" spans="2:26" x14ac:dyDescent="0.25">
      <c r="B66" s="87"/>
      <c r="D66" s="87"/>
      <c r="E66" s="87"/>
      <c r="F66" s="87"/>
      <c r="G66" s="87"/>
      <c r="H66" s="87"/>
      <c r="I66" s="87"/>
      <c r="J66" s="87"/>
      <c r="K66" s="87"/>
      <c r="L66" s="87"/>
      <c r="M66" s="87"/>
      <c r="N66" s="87"/>
      <c r="O66" s="87"/>
      <c r="P66" s="87"/>
      <c r="Q66" s="87"/>
      <c r="R66" s="87"/>
      <c r="S66" s="87"/>
      <c r="T66" s="87"/>
      <c r="U66" s="87"/>
      <c r="V66" s="87"/>
      <c r="W66" s="87"/>
      <c r="X66" s="87"/>
      <c r="Y66" s="87"/>
      <c r="Z66" s="87"/>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AC5:AC29 AD5 AD27:AD28 AD24 AD16 AD14 AD8:AD9 AD6:AD7 AD10:AD13 AD15 AD17:AD23 AD25 AD29 AC36:AD40 AE36:AE40 AE28:AE30 AF5:AF13 AF28:AF29 AE27 AE23:AE25 AE5:AE13 AE26 AF17:AF25 AE17:AE22 AF26 AF36:AF40 AF15 AE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O33"/>
  <sheetViews>
    <sheetView workbookViewId="0">
      <selection activeCell="K22" sqref="K22"/>
    </sheetView>
  </sheetViews>
  <sheetFormatPr defaultRowHeight="12.5" x14ac:dyDescent="0.25"/>
  <cols>
    <col min="1" max="1" width="38.453125" bestFit="1" customWidth="1"/>
    <col min="2" max="5" width="9.1796875" style="133" customWidth="1"/>
    <col min="7" max="7" width="9.1796875" style="133" customWidth="1"/>
    <col min="9" max="9" width="8.7265625" customWidth="1"/>
    <col min="11" max="11" width="8.7265625" customWidth="1"/>
    <col min="12" max="13" width="8.7265625" hidden="1" customWidth="1"/>
  </cols>
  <sheetData>
    <row r="1" spans="1:13" ht="14" x14ac:dyDescent="0.3">
      <c r="A1" s="1" t="s">
        <v>0</v>
      </c>
      <c r="B1" s="1"/>
      <c r="C1" s="1"/>
      <c r="D1" s="1"/>
      <c r="E1" s="1"/>
      <c r="G1" s="1"/>
    </row>
    <row r="2" spans="1:13" x14ac:dyDescent="0.25">
      <c r="K2" s="57"/>
    </row>
    <row r="3" spans="1:13" s="133" customFormat="1" ht="14.5" thickBot="1" x14ac:dyDescent="0.35">
      <c r="A3" s="1" t="s">
        <v>253</v>
      </c>
      <c r="B3" s="1"/>
      <c r="C3" s="1"/>
      <c r="D3" s="1"/>
      <c r="E3" s="1"/>
      <c r="G3" s="1"/>
    </row>
    <row r="4" spans="1:13" s="133" customFormat="1" ht="13.5" thickBot="1" x14ac:dyDescent="0.3">
      <c r="A4" s="11" t="s">
        <v>5</v>
      </c>
      <c r="B4" s="220" t="s">
        <v>234</v>
      </c>
      <c r="C4" s="221" t="s">
        <v>235</v>
      </c>
      <c r="D4" s="221" t="s">
        <v>236</v>
      </c>
      <c r="E4" s="108" t="s">
        <v>237</v>
      </c>
      <c r="F4" s="220" t="s">
        <v>241</v>
      </c>
      <c r="G4" s="221" t="s">
        <v>242</v>
      </c>
      <c r="H4" s="221" t="s">
        <v>243</v>
      </c>
      <c r="I4" s="221" t="s">
        <v>244</v>
      </c>
      <c r="J4" s="220" t="s">
        <v>270</v>
      </c>
      <c r="K4" s="221" t="s">
        <v>271</v>
      </c>
      <c r="L4" s="221" t="s">
        <v>272</v>
      </c>
      <c r="M4" s="108" t="s">
        <v>273</v>
      </c>
    </row>
    <row r="5" spans="1:13" s="133" customFormat="1" x14ac:dyDescent="0.25">
      <c r="A5" s="475" t="s">
        <v>254</v>
      </c>
      <c r="B5" s="466">
        <v>71</v>
      </c>
      <c r="C5" s="442">
        <v>91</v>
      </c>
      <c r="D5" s="277">
        <v>96</v>
      </c>
      <c r="E5" s="533">
        <v>107</v>
      </c>
      <c r="F5" s="466">
        <v>118</v>
      </c>
      <c r="G5" s="442">
        <v>129</v>
      </c>
      <c r="H5" s="442">
        <v>140</v>
      </c>
      <c r="I5" s="442">
        <v>151</v>
      </c>
      <c r="J5" s="466">
        <v>135</v>
      </c>
      <c r="K5" s="442">
        <v>122</v>
      </c>
      <c r="L5" s="442"/>
      <c r="M5" s="442"/>
    </row>
    <row r="6" spans="1:13" s="133" customFormat="1" x14ac:dyDescent="0.25">
      <c r="A6" s="476" t="s">
        <v>255</v>
      </c>
      <c r="B6" s="480">
        <v>795</v>
      </c>
      <c r="C6" s="443">
        <v>882</v>
      </c>
      <c r="D6" s="52">
        <v>894</v>
      </c>
      <c r="E6" s="532">
        <v>846</v>
      </c>
      <c r="F6" s="480">
        <v>974</v>
      </c>
      <c r="G6" s="443">
        <v>1083</v>
      </c>
      <c r="H6" s="443">
        <v>1133</v>
      </c>
      <c r="I6" s="443">
        <v>1308</v>
      </c>
      <c r="J6" s="480">
        <v>1522</v>
      </c>
      <c r="K6" s="443">
        <v>1664</v>
      </c>
      <c r="L6" s="443"/>
      <c r="M6" s="443"/>
    </row>
    <row r="7" spans="1:13" s="133" customFormat="1" x14ac:dyDescent="0.25">
      <c r="A7" s="477" t="s">
        <v>256</v>
      </c>
      <c r="B7" s="480">
        <v>190</v>
      </c>
      <c r="C7" s="443">
        <v>143</v>
      </c>
      <c r="D7" s="52">
        <v>183</v>
      </c>
      <c r="E7" s="532">
        <v>236</v>
      </c>
      <c r="F7" s="480">
        <v>219</v>
      </c>
      <c r="G7" s="443">
        <v>250</v>
      </c>
      <c r="H7" s="443">
        <v>308</v>
      </c>
      <c r="I7" s="443">
        <v>323</v>
      </c>
      <c r="J7" s="480">
        <v>320</v>
      </c>
      <c r="K7" s="443">
        <v>321</v>
      </c>
      <c r="L7" s="443"/>
      <c r="M7" s="443"/>
    </row>
    <row r="8" spans="1:13" s="133" customFormat="1" ht="13.5" thickBot="1" x14ac:dyDescent="0.35">
      <c r="A8" s="584" t="s">
        <v>257</v>
      </c>
      <c r="B8" s="324">
        <v>1056</v>
      </c>
      <c r="C8" s="446">
        <v>1116</v>
      </c>
      <c r="D8" s="137">
        <v>1173</v>
      </c>
      <c r="E8" s="77">
        <v>1189</v>
      </c>
      <c r="F8" s="324">
        <f>SUM(F5:F7)</f>
        <v>1311</v>
      </c>
      <c r="G8" s="446">
        <f>SUM(G5:G7)</f>
        <v>1462</v>
      </c>
      <c r="H8" s="446">
        <f t="shared" ref="H8:I8" si="0">SUM(H5:H7)</f>
        <v>1581</v>
      </c>
      <c r="I8" s="446">
        <f t="shared" si="0"/>
        <v>1782</v>
      </c>
      <c r="J8" s="324">
        <v>1977</v>
      </c>
      <c r="K8" s="446">
        <v>2107</v>
      </c>
      <c r="L8" s="446"/>
      <c r="M8" s="446"/>
    </row>
    <row r="9" spans="1:13" s="133" customFormat="1" x14ac:dyDescent="0.25"/>
    <row r="10" spans="1:13" s="133" customFormat="1" ht="14" x14ac:dyDescent="0.3">
      <c r="A10" s="1" t="s">
        <v>246</v>
      </c>
    </row>
    <row r="11" spans="1:13" s="133" customFormat="1" x14ac:dyDescent="0.25"/>
    <row r="12" spans="1:13" s="133" customFormat="1" ht="13" thickBot="1" x14ac:dyDescent="0.3">
      <c r="A12" s="601" t="s">
        <v>297</v>
      </c>
    </row>
    <row r="13" spans="1:13" ht="14.5" thickBot="1" x14ac:dyDescent="0.35">
      <c r="A13" s="11"/>
      <c r="B13" s="220" t="s">
        <v>234</v>
      </c>
      <c r="C13" s="221" t="s">
        <v>235</v>
      </c>
      <c r="D13" s="221" t="s">
        <v>236</v>
      </c>
      <c r="E13" s="108" t="s">
        <v>237</v>
      </c>
      <c r="F13" s="220" t="s">
        <v>241</v>
      </c>
      <c r="G13" s="221" t="s">
        <v>242</v>
      </c>
      <c r="H13" s="221" t="s">
        <v>243</v>
      </c>
      <c r="I13" s="108" t="s">
        <v>244</v>
      </c>
      <c r="J13" s="133"/>
      <c r="K13" s="1"/>
      <c r="L13" s="1"/>
      <c r="M13" s="1"/>
    </row>
    <row r="14" spans="1:13" s="133" customFormat="1" ht="14" x14ac:dyDescent="0.3">
      <c r="A14" s="475" t="s">
        <v>247</v>
      </c>
      <c r="B14" s="466">
        <v>81</v>
      </c>
      <c r="C14" s="442">
        <v>88</v>
      </c>
      <c r="D14" s="277">
        <v>85</v>
      </c>
      <c r="E14" s="533">
        <v>83</v>
      </c>
      <c r="F14" s="466">
        <v>89</v>
      </c>
      <c r="G14" s="442">
        <v>94</v>
      </c>
      <c r="H14" s="442">
        <v>99</v>
      </c>
      <c r="I14" s="533">
        <v>116</v>
      </c>
      <c r="K14" s="1"/>
      <c r="L14" s="1"/>
      <c r="M14" s="1"/>
    </row>
    <row r="15" spans="1:13" s="133" customFormat="1" ht="14" x14ac:dyDescent="0.3">
      <c r="A15" s="476" t="s">
        <v>293</v>
      </c>
      <c r="B15" s="603">
        <v>79</v>
      </c>
      <c r="C15" s="593">
        <v>92</v>
      </c>
      <c r="D15" s="604">
        <v>83</v>
      </c>
      <c r="E15" s="594">
        <v>87</v>
      </c>
      <c r="F15" s="603">
        <v>93</v>
      </c>
      <c r="G15" s="593">
        <v>94</v>
      </c>
      <c r="H15" s="593">
        <v>96</v>
      </c>
      <c r="I15" s="594">
        <v>105</v>
      </c>
      <c r="K15" s="1"/>
      <c r="L15" s="1"/>
      <c r="M15" s="1"/>
    </row>
    <row r="16" spans="1:13" s="133" customFormat="1" ht="14" x14ac:dyDescent="0.3">
      <c r="A16" s="477" t="s">
        <v>248</v>
      </c>
      <c r="B16" s="603">
        <v>30</v>
      </c>
      <c r="C16" s="593">
        <v>35</v>
      </c>
      <c r="D16" s="604">
        <v>31</v>
      </c>
      <c r="E16" s="594">
        <v>28</v>
      </c>
      <c r="F16" s="605">
        <v>27</v>
      </c>
      <c r="G16" s="593">
        <v>27</v>
      </c>
      <c r="H16" s="593">
        <v>27</v>
      </c>
      <c r="I16" s="594">
        <v>26</v>
      </c>
      <c r="K16" s="1"/>
      <c r="L16" s="1"/>
      <c r="M16" s="1"/>
    </row>
    <row r="17" spans="1:15" s="133" customFormat="1" ht="14.5" thickBot="1" x14ac:dyDescent="0.35">
      <c r="A17" s="582" t="s">
        <v>294</v>
      </c>
      <c r="B17" s="606">
        <v>32</v>
      </c>
      <c r="C17" s="595">
        <v>31</v>
      </c>
      <c r="D17" s="607">
        <v>33</v>
      </c>
      <c r="E17" s="596">
        <v>24</v>
      </c>
      <c r="F17" s="608">
        <v>23</v>
      </c>
      <c r="G17" s="595">
        <v>27</v>
      </c>
      <c r="H17" s="595">
        <v>30</v>
      </c>
      <c r="I17" s="596">
        <v>37</v>
      </c>
      <c r="K17" s="1"/>
      <c r="L17" s="1"/>
      <c r="M17" s="1"/>
    </row>
    <row r="18" spans="1:15" s="133" customFormat="1" ht="14" x14ac:dyDescent="0.3">
      <c r="A18" s="602"/>
      <c r="B18" s="609"/>
      <c r="C18" s="610"/>
      <c r="D18" s="610"/>
      <c r="E18" s="610"/>
      <c r="F18" s="610"/>
      <c r="G18" s="610"/>
      <c r="H18" s="610"/>
      <c r="I18" s="610"/>
      <c r="K18" s="1"/>
      <c r="L18" s="1"/>
      <c r="M18" s="1"/>
    </row>
    <row r="19" spans="1:15" s="133" customFormat="1" ht="14.5" thickBot="1" x14ac:dyDescent="0.35">
      <c r="A19" s="601" t="s">
        <v>298</v>
      </c>
      <c r="B19" s="1"/>
      <c r="C19" s="1"/>
      <c r="D19" s="1"/>
      <c r="E19" s="1"/>
      <c r="G19" s="1"/>
      <c r="H19" s="1"/>
      <c r="I19" s="1"/>
      <c r="K19" s="1"/>
      <c r="L19" s="1"/>
      <c r="M19" s="1"/>
    </row>
    <row r="20" spans="1:15" ht="13.5" thickBot="1" x14ac:dyDescent="0.3">
      <c r="A20" s="11"/>
      <c r="B20" s="220" t="s">
        <v>234</v>
      </c>
      <c r="C20" s="221" t="s">
        <v>235</v>
      </c>
      <c r="D20" s="221" t="s">
        <v>236</v>
      </c>
      <c r="E20" s="108" t="s">
        <v>237</v>
      </c>
      <c r="F20" s="220" t="s">
        <v>241</v>
      </c>
      <c r="G20" s="221" t="s">
        <v>242</v>
      </c>
      <c r="H20" s="221" t="s">
        <v>243</v>
      </c>
      <c r="I20" s="221" t="s">
        <v>244</v>
      </c>
      <c r="J20" s="220" t="s">
        <v>270</v>
      </c>
      <c r="K20" s="221" t="s">
        <v>271</v>
      </c>
      <c r="L20" s="221" t="s">
        <v>272</v>
      </c>
      <c r="M20" s="108" t="s">
        <v>273</v>
      </c>
    </row>
    <row r="21" spans="1:15" x14ac:dyDescent="0.25">
      <c r="A21" s="475" t="s">
        <v>247</v>
      </c>
      <c r="B21" s="466">
        <v>81</v>
      </c>
      <c r="C21" s="442">
        <v>88</v>
      </c>
      <c r="D21" s="277">
        <v>85</v>
      </c>
      <c r="E21" s="533">
        <v>83</v>
      </c>
      <c r="F21" s="466">
        <v>89</v>
      </c>
      <c r="G21" s="442">
        <v>94</v>
      </c>
      <c r="H21" s="442">
        <v>99</v>
      </c>
      <c r="I21" s="442">
        <v>116</v>
      </c>
      <c r="J21" s="466">
        <v>135</v>
      </c>
      <c r="K21" s="442">
        <v>137</v>
      </c>
      <c r="L21" s="442"/>
      <c r="M21" s="442"/>
    </row>
    <row r="22" spans="1:15" x14ac:dyDescent="0.25">
      <c r="A22" s="476" t="s">
        <v>293</v>
      </c>
      <c r="B22" s="603">
        <v>76</v>
      </c>
      <c r="C22" s="593">
        <v>88</v>
      </c>
      <c r="D22" s="604">
        <v>76</v>
      </c>
      <c r="E22" s="594">
        <v>77</v>
      </c>
      <c r="F22" s="603">
        <v>77</v>
      </c>
      <c r="G22" s="593">
        <v>77</v>
      </c>
      <c r="H22" s="593">
        <v>69</v>
      </c>
      <c r="I22" s="593">
        <v>77</v>
      </c>
      <c r="J22" s="611">
        <v>68</v>
      </c>
      <c r="K22" s="443">
        <v>63</v>
      </c>
      <c r="L22" s="443"/>
      <c r="M22" s="443"/>
      <c r="N22" s="87"/>
      <c r="O22" s="87"/>
    </row>
    <row r="23" spans="1:15" x14ac:dyDescent="0.25">
      <c r="A23" s="477" t="s">
        <v>248</v>
      </c>
      <c r="B23" s="603">
        <v>30</v>
      </c>
      <c r="C23" s="593">
        <v>35</v>
      </c>
      <c r="D23" s="604">
        <v>31</v>
      </c>
      <c r="E23" s="594">
        <v>28</v>
      </c>
      <c r="F23" s="605">
        <v>27</v>
      </c>
      <c r="G23" s="593">
        <v>27</v>
      </c>
      <c r="H23" s="593">
        <v>27</v>
      </c>
      <c r="I23" s="593">
        <v>26</v>
      </c>
      <c r="J23" s="611">
        <v>31</v>
      </c>
      <c r="K23" s="443">
        <v>29</v>
      </c>
      <c r="L23" s="443"/>
      <c r="M23" s="443"/>
      <c r="N23" s="87"/>
      <c r="O23" s="87"/>
    </row>
    <row r="24" spans="1:15" s="133" customFormat="1" ht="13" thickBot="1" x14ac:dyDescent="0.3">
      <c r="A24" s="582" t="s">
        <v>294</v>
      </c>
      <c r="B24" s="606">
        <v>35</v>
      </c>
      <c r="C24" s="595">
        <v>35</v>
      </c>
      <c r="D24" s="607">
        <v>40</v>
      </c>
      <c r="E24" s="596">
        <v>34</v>
      </c>
      <c r="F24" s="608">
        <v>39</v>
      </c>
      <c r="G24" s="595">
        <v>44</v>
      </c>
      <c r="H24" s="595">
        <v>57</v>
      </c>
      <c r="I24" s="596">
        <v>65</v>
      </c>
      <c r="J24" s="612">
        <v>98</v>
      </c>
      <c r="K24" s="583">
        <v>103</v>
      </c>
      <c r="L24" s="583"/>
      <c r="M24" s="583"/>
      <c r="N24" s="87"/>
      <c r="O24" s="87"/>
    </row>
    <row r="26" spans="1:15" ht="26.15" customHeight="1" x14ac:dyDescent="0.25">
      <c r="A26" s="661" t="s">
        <v>295</v>
      </c>
      <c r="B26" s="661"/>
      <c r="C26" s="661"/>
      <c r="D26" s="661"/>
      <c r="E26" s="661"/>
      <c r="F26" s="661"/>
      <c r="G26" s="661"/>
      <c r="H26" s="661"/>
      <c r="I26" s="661"/>
      <c r="J26" s="661"/>
    </row>
    <row r="27" spans="1:15" ht="8.15" customHeight="1" thickBot="1" x14ac:dyDescent="0.3"/>
    <row r="28" spans="1:15" ht="13.5" thickBot="1" x14ac:dyDescent="0.3">
      <c r="A28" s="133" t="s">
        <v>296</v>
      </c>
      <c r="B28" s="220" t="s">
        <v>234</v>
      </c>
      <c r="C28" s="221" t="s">
        <v>235</v>
      </c>
      <c r="D28" s="221" t="s">
        <v>236</v>
      </c>
      <c r="E28" s="108" t="s">
        <v>237</v>
      </c>
      <c r="F28" s="220" t="s">
        <v>241</v>
      </c>
      <c r="G28" s="221" t="s">
        <v>242</v>
      </c>
      <c r="H28" s="221" t="s">
        <v>243</v>
      </c>
      <c r="I28" s="108" t="s">
        <v>244</v>
      </c>
    </row>
    <row r="29" spans="1:15" x14ac:dyDescent="0.25">
      <c r="B29" s="597">
        <v>3.1507133884989145</v>
      </c>
      <c r="C29" s="598">
        <v>3.7073828285649597</v>
      </c>
      <c r="D29" s="599">
        <v>6.9597246356049141</v>
      </c>
      <c r="E29" s="600">
        <v>9.863711973231986</v>
      </c>
      <c r="F29" s="597">
        <v>16.233767768635062</v>
      </c>
      <c r="G29" s="598">
        <v>17.211435400101351</v>
      </c>
      <c r="H29" s="598">
        <v>26.508521585024539</v>
      </c>
      <c r="I29" s="600">
        <v>28.12263289203193</v>
      </c>
    </row>
    <row r="31" spans="1:15" x14ac:dyDescent="0.25">
      <c r="B31" s="57"/>
      <c r="C31" s="57"/>
      <c r="D31" s="57"/>
    </row>
    <row r="33" spans="2:9" x14ac:dyDescent="0.25">
      <c r="B33" s="57"/>
      <c r="C33" s="57"/>
      <c r="D33" s="57"/>
      <c r="E33" s="57"/>
      <c r="F33" s="57"/>
      <c r="G33" s="57"/>
      <c r="H33" s="57"/>
      <c r="I33" s="57"/>
    </row>
  </sheetData>
  <mergeCells count="1">
    <mergeCell ref="A26:J26"/>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2023-07-20T12:13:35Z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